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w9Ww9FAECADYxT2u4+rbtKwbuw13KkXHQPv7rmb+J9+A0m6k9Rdq8iPhdddPX49fKomLmqYJwPwTvveQjSDQ==" workbookSaltValue="fpqXWRzlR5wBan6gIynfi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V16" i="11"/>
  <c r="BG25" i="11"/>
  <c r="Q18" i="20"/>
  <c r="Q23" i="20" s="1"/>
  <c r="BF18" i="11"/>
  <c r="BG22" i="11"/>
  <c r="AZ19" i="11"/>
  <c r="S14" i="16"/>
  <c r="P14" i="16"/>
  <c r="F13" i="16"/>
  <c r="N30" i="16"/>
  <c r="H14" i="21"/>
  <c r="K26" i="2"/>
  <c r="K23" i="2"/>
  <c r="N26" i="2"/>
  <c r="M23" i="2"/>
  <c r="G26"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A29" i="16"/>
  <c r="S25" i="17"/>
  <c r="AA18" i="16"/>
  <c r="AZ20" i="11"/>
  <c r="AZ12" i="11"/>
  <c r="S11" i="14"/>
  <c r="V11" i="14" s="1"/>
  <c r="AZ11" i="11"/>
  <c r="BG12" i="11"/>
  <c r="Q18" i="17"/>
  <c r="BI20" i="11"/>
  <c r="BH10" i="11"/>
  <c r="BI9" i="11"/>
  <c r="AQ10" i="21"/>
  <c r="BL28" i="11"/>
  <c r="AO29" i="17"/>
  <c r="BL10" i="11"/>
  <c r="S10" i="17"/>
  <c r="BH10" i="16"/>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X32" i="20"/>
  <c r="G30" i="14"/>
  <c r="G23" i="14"/>
  <c r="AK31" i="8" l="1"/>
  <c r="H28" i="2"/>
  <c r="Z14" i="17"/>
  <c r="BF17" i="8"/>
  <c r="BD12" i="8"/>
  <c r="B16" i="6"/>
  <c r="BK17" i="11"/>
  <c r="BJ10" i="11"/>
  <c r="AZ25" i="11"/>
  <c r="AZ30" i="11" s="1"/>
  <c r="BK20" i="11"/>
  <c r="BH21" i="11"/>
  <c r="BH25" i="16"/>
  <c r="BL16" i="11"/>
  <c r="BF12" i="11"/>
  <c r="BL20" i="11"/>
  <c r="P16" i="17"/>
  <c r="S16" i="16"/>
  <c r="T17" i="11"/>
  <c r="BF20" i="11"/>
  <c r="X16" i="17"/>
  <c r="AZ17" i="11"/>
  <c r="R28" i="14"/>
  <c r="AA20" i="16"/>
  <c r="AZ22" i="11"/>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Z32" i="16"/>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I32" i="16"/>
  <c r="AD32" i="1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<sst xmlns="http://schemas.openxmlformats.org/spreadsheetml/2006/main" count="2668" uniqueCount="1191">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</sst>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1188</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dVVPtvJ9abTEHuNW7amhxakGX2umwnypForjPE3BWQ1qVC54CHtjba3fGez1vLzQzU6KmexbGLX+m51lbt+Tw==" saltValue="E9Y0SAASfyAof+SzhTQ7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91</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11.238985516029333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11</v>
      </c>
      <c r="B10" s="1461" t="str">
        <f>Datos!A10</f>
        <v>Jdos. Violencia contra la mujer</v>
      </c>
      <c r="C10" s="239">
        <f t="shared" si="0"/>
        <v>724</v>
      </c>
      <c r="D10" s="239">
        <f>IF(ISNUMBER(Datos!I10),Datos!I10," - ")</f>
        <v>708</v>
      </c>
      <c r="E10" s="240">
        <f>IF(ISNUMBER(Datos!J10),Datos!J10," - ")</f>
        <v>1776</v>
      </c>
      <c r="F10" s="240">
        <f>IF(ISNUMBER(Datos!K10),Datos!K10," - ")</f>
        <v>1706</v>
      </c>
      <c r="G10" s="1390" t="str">
        <f>IF(Datos!E10&lt;&gt;"",Datos!E10,Datos!D10)</f>
        <v>37</v>
      </c>
      <c r="H10" s="241">
        <f>IF(ISNUMBER(Datos!L10),Datos!L10," - ")</f>
        <v>794</v>
      </c>
      <c r="I10" s="1400" t="str">
        <f>IF(ISNUMBER(Datos!AS10/Datos!BM10),Datos!AS10/Datos!BM10," - ")</f>
        <v xml:space="preserve"> - </v>
      </c>
      <c r="J10" s="1401">
        <f>IF(ISNUMBER(Datos!BY10/Datos!CN10),Datos!BY10/Datos!CN10," - ")</f>
        <v>0</v>
      </c>
      <c r="K10" s="244">
        <f t="shared" ref="K10:K13" si="1">IF(ISNUMBER((E10-F10)/C10),(E10-F10)/C10," - ")</f>
        <v>9.668508287292818E-2</v>
      </c>
      <c r="L10" s="1402">
        <f>IF(ISNUMBER(NºAsuntos!I10/NºAsuntos!G10),(NºAsuntos!I10/NºAsuntos!G10)*11," - ")</f>
        <v>5.1195779601406803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3.9402985074626864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724</v>
      </c>
      <c r="D14" s="1407">
        <f>SUBTOTAL(9,D9:D13)</f>
        <v>708</v>
      </c>
      <c r="E14" s="1408">
        <f>SUBTOTAL(9,E9:E13)</f>
        <v>1776</v>
      </c>
      <c r="F14" s="1409">
        <f>SUBTOTAL(9,F9:F13)</f>
        <v>1706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54</v>
      </c>
      <c r="B16" s="1461" t="str">
        <f>Datos!A16</f>
        <v xml:space="preserve">Jdos. Instrucción                               </v>
      </c>
      <c r="C16" s="239">
        <f t="shared" ref="C16:C22" si="2">IF(ISNUMBER(H16-E16+F16),H16-E16+F16," - ")</f>
        <v>30039</v>
      </c>
      <c r="D16" s="239">
        <f>IF(ISNUMBER(IF(D_I="SI",Datos!I16,Datos!I16+Datos!AC16)),IF(D_I="SI",Datos!I16,Datos!I16+Datos!AC16)," - ")</f>
        <v>25364</v>
      </c>
      <c r="E16" s="240">
        <f>IF(ISNUMBER(IF(D_I="SI",Datos!J16,Datos!J16+Datos!AD16)),IF(D_I="SI",Datos!J16,Datos!J16+Datos!AD16)," - ")</f>
        <v>136157</v>
      </c>
      <c r="F16" s="240">
        <f>IF(ISNUMBER(IF(D_I="SI",Datos!K16,Datos!K16+Datos!AE16)),IF(D_I="SI",Datos!K16,Datos!K16+Datos!AE16)," - ")</f>
        <v>137706</v>
      </c>
      <c r="G16" s="1390" t="str">
        <f>IF(Datos!E16&lt;&gt;"",Datos!E16,Datos!D16)</f>
        <v>03</v>
      </c>
      <c r="H16" s="241">
        <f>IF(ISNUMBER(IF(D_I="SI",Datos!L16,Datos!L16+Datos!AF16)),IF(D_I="SI",Datos!L16,Datos!L16+Datos!AF16)," - ")</f>
        <v>28490</v>
      </c>
      <c r="I16" s="1400" t="str">
        <f>IF(ISNUMBER(Datos!AS16/Datos!BM16),Datos!AS16/Datos!BM16," - ")</f>
        <v xml:space="preserve"> - </v>
      </c>
      <c r="J16" s="1401">
        <f>IF(ISNUMBER(Datos!BY16/Datos!CN16),Datos!BY16/Datos!CN16," - ")</f>
        <v>0</v>
      </c>
      <c r="K16" s="244">
        <f t="shared" ref="K16:K22" si="3">IF(ISNUMBER((E16-F16)/C16),(E16-F16)/C16," - ")</f>
        <v>-5.1566297147042181E-2</v>
      </c>
      <c r="L16" s="1402">
        <f>IF(ISNUMBER(NºAsuntos!I16/NºAsuntos!G16),(NºAsuntos!I16/NºAsuntos!G16)*11," - ")</f>
        <v>2.2757904521226378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11</v>
      </c>
      <c r="B18" s="1461" t="str">
        <f>Datos!A18</f>
        <v>Jdos. Violencia contra la mujer</v>
      </c>
      <c r="C18" s="239">
        <f t="shared" si="2"/>
        <v>2882</v>
      </c>
      <c r="D18" s="239">
        <f>IF(ISNUMBER(IF(D_I="SI",Datos!I18,Datos!I18+Datos!AC18)),IF(D_I="SI",Datos!I18,Datos!I18+Datos!AC18)," - ")</f>
        <v>2654</v>
      </c>
      <c r="E18" s="240">
        <f>IF(ISNUMBER(IF(D_I="SI",Datos!J18,Datos!J18+Datos!AD18)),IF(D_I="SI",Datos!J18,Datos!J18+Datos!AD18)," - ")</f>
        <v>20231</v>
      </c>
      <c r="F18" s="240">
        <f>IF(ISNUMBER(IF(D_I="SI",Datos!K18,Datos!K18+Datos!AE18)),IF(D_I="SI",Datos!K18,Datos!K18+Datos!AE18)," - ")</f>
        <v>20224</v>
      </c>
      <c r="G18" s="1390" t="str">
        <f>IF(Datos!E18&lt;&gt;"",Datos!E18,Datos!D18)</f>
        <v>37</v>
      </c>
      <c r="H18" s="241">
        <f>IF(ISNUMBER(IF(D_I="SI",Datos!L18,Datos!L18+Datos!AF18)),IF(D_I="SI",Datos!L18,Datos!L18+Datos!AF18)," - ")</f>
        <v>2889</v>
      </c>
      <c r="I18" s="1400" t="str">
        <f>IF(ISNUMBER(Datos!AS18/Datos!BM18),Datos!AS18/Datos!BM18," - ")</f>
        <v xml:space="preserve"> - </v>
      </c>
      <c r="J18" s="1401" t="str">
        <f>IF(ISNUMBER((Datos!BY18+Datos!BZ18)/Datos!CN18),(Datos!BY18+Datos!BZ18)/Datos!CN18," - ")</f>
        <v xml:space="preserve"> - </v>
      </c>
      <c r="K18" s="244">
        <f t="shared" si="3"/>
        <v>2.4288688410825814E-3</v>
      </c>
      <c r="L18" s="1402">
        <f>IF(ISNUMBER(NºAsuntos!I18/NºAsuntos!G18),(NºAsuntos!I18/NºAsuntos!G18)*11," - ")</f>
        <v>1.5713508702531647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32921</v>
      </c>
      <c r="D23" s="1407">
        <f>SUBTOTAL(9,D16:D22)</f>
        <v>28018</v>
      </c>
      <c r="E23" s="1408">
        <f>SUBTOTAL(9,E16:E22)</f>
        <v>156388</v>
      </c>
      <c r="F23" s="1408">
        <f>SUBTOTAL(9,F16:F22)</f>
        <v>157930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33645</v>
      </c>
      <c r="D31" s="1435">
        <f>SUBTOTAL(9,D9:D30)</f>
        <v>28726</v>
      </c>
      <c r="E31" s="1436">
        <f>SUBTOTAL(9,E9:E30)</f>
        <v>158164</v>
      </c>
      <c r="F31" s="1436">
        <f>SUBTOTAL(9,F9:F30)</f>
        <v>159636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SvHzvkrYIUw6zs+yH8AssPBotpIcFwoyf08BysOpihgSHkJAbt/FcsZKnrelg1R812wVAFFuh9ehiLxzAqH3g==" saltValue="zDV94HsyIxaHroNkaQHGS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pq4wUC+PCeotaPZAPM27YtzOEuU/eGnK0zVh7wKFyYAh2e6FsrLhGf2Tp8tjuAubA2FTcw9+zjAJBS1Y99jLA==" saltValue="JJ9PPhG9jh15IkGnfUYw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179947</v>
      </c>
      <c r="J9" s="194">
        <v>195656</v>
      </c>
      <c r="K9" s="194">
        <v>177910</v>
      </c>
      <c r="L9" s="194">
        <v>199603</v>
      </c>
      <c r="M9" s="194">
        <v>51754</v>
      </c>
      <c r="N9" s="194">
        <v>88763</v>
      </c>
      <c r="O9" s="194">
        <v>66748</v>
      </c>
      <c r="P9" s="194">
        <v>33412</v>
      </c>
      <c r="Q9" s="194">
        <v>32406</v>
      </c>
      <c r="R9" s="194">
        <v>131044</v>
      </c>
      <c r="S9" s="194">
        <v>152331</v>
      </c>
      <c r="T9" s="194">
        <v>185014</v>
      </c>
      <c r="U9" s="194">
        <v>161410</v>
      </c>
      <c r="V9" s="194">
        <v>179947</v>
      </c>
      <c r="W9" s="194">
        <v>44376</v>
      </c>
      <c r="X9" s="201">
        <v>84122</v>
      </c>
      <c r="Y9" s="204">
        <v>2718</v>
      </c>
      <c r="Z9" s="194">
        <v>20199</v>
      </c>
      <c r="AA9" s="194">
        <v>20102</v>
      </c>
      <c r="AB9" s="194">
        <v>2711</v>
      </c>
      <c r="AC9" s="194">
        <v>0</v>
      </c>
      <c r="AD9" s="194">
        <v>0</v>
      </c>
      <c r="AE9" s="194">
        <v>0</v>
      </c>
      <c r="AF9" s="201">
        <v>0</v>
      </c>
      <c r="AG9" s="204">
        <v>2438</v>
      </c>
      <c r="AH9" s="194">
        <v>22932</v>
      </c>
      <c r="AI9" s="194">
        <v>22716</v>
      </c>
      <c r="AJ9" s="205">
        <v>2718</v>
      </c>
      <c r="AK9" s="193">
        <v>0</v>
      </c>
      <c r="AL9" s="194">
        <v>0</v>
      </c>
      <c r="AM9" s="194">
        <v>0</v>
      </c>
      <c r="AN9" s="201">
        <v>0</v>
      </c>
      <c r="AO9" s="282">
        <v>91</v>
      </c>
      <c r="AP9" s="167">
        <v>91</v>
      </c>
      <c r="AQ9" s="167">
        <v>91</v>
      </c>
      <c r="AR9" s="206">
        <v>91</v>
      </c>
      <c r="AS9" s="379" t="s">
        <v>1072</v>
      </c>
      <c r="AT9" s="208"/>
      <c r="AU9" s="207"/>
      <c r="AV9" s="208"/>
      <c r="AW9" s="207"/>
      <c r="AX9" s="208"/>
      <c r="AY9" s="133">
        <f>IF(ISNUMBER(IF(J_V="SI",S9,S9+AG9)),IF(J_V="SI",S9,S9+AG9)," - ")</f>
        <v>154769</v>
      </c>
      <c r="AZ9" s="133">
        <f>IF(ISNUMBER(IF(J_V="SI",T9,T9+AH9)),IF(J_V="SI",T9,T9+AH9)," - ")</f>
        <v>207946</v>
      </c>
      <c r="BA9" s="134">
        <f>IF(ISNUMBER(IF(J_V="SI",U9,U9+AI9)),IF(J_V="SI",U9,U9+AI9)," - ")</f>
        <v>184126</v>
      </c>
      <c r="BB9" s="134">
        <f>IF(ISNUMBER(IF(J_V="SI",V9,V9+AJ9)),IF(J_V="SI",V9,V9+AJ9)," - ")</f>
        <v>182665</v>
      </c>
      <c r="BC9" s="135">
        <f>IF(ISNUMBER(X9),X9," - ")</f>
        <v>84122</v>
      </c>
      <c r="BD9" s="136">
        <f>IF(ISNUMBER(BA9/AZ9),BA9/AZ9," - ")</f>
        <v>0.88545103055600971</v>
      </c>
      <c r="BE9" s="137">
        <f>IF(ISNUMBER(BB9/BA9),BB9/BA9, " - ")</f>
        <v>0.99206521621063837</v>
      </c>
      <c r="BF9" s="137">
        <f>IF(ISNUMBER(BC9/BA9),BC9/BA9, " - ")</f>
        <v>0.45687192466028698</v>
      </c>
      <c r="BG9" s="209">
        <f>IF(ISNUMBER((AY9+AZ9)/BA9),(AY9+AZ9)/BA9," - ")</f>
        <v>1.9699282013403865</v>
      </c>
      <c r="BH9" s="167">
        <v>91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708</v>
      </c>
      <c r="J10" s="194">
        <v>1776</v>
      </c>
      <c r="K10" s="194">
        <v>1706</v>
      </c>
      <c r="L10" s="194">
        <v>794</v>
      </c>
      <c r="M10" s="194">
        <v>567</v>
      </c>
      <c r="N10" s="194">
        <v>783</v>
      </c>
      <c r="O10" s="194">
        <v>303</v>
      </c>
      <c r="P10" s="194">
        <v>460</v>
      </c>
      <c r="Q10" s="194">
        <v>413</v>
      </c>
      <c r="R10" s="194">
        <v>921</v>
      </c>
      <c r="S10" s="194">
        <v>884</v>
      </c>
      <c r="T10" s="194">
        <v>1688</v>
      </c>
      <c r="U10" s="194">
        <v>1804</v>
      </c>
      <c r="V10" s="194">
        <v>708</v>
      </c>
      <c r="W10" s="194">
        <v>658</v>
      </c>
      <c r="X10" s="201">
        <v>742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11</v>
      </c>
      <c r="AP10" s="168">
        <v>11</v>
      </c>
      <c r="AQ10" s="167">
        <v>11</v>
      </c>
      <c r="AR10" s="168">
        <v>11</v>
      </c>
      <c r="AS10" s="380" t="s">
        <v>1066</v>
      </c>
      <c r="AT10" s="205"/>
      <c r="AU10" s="213"/>
      <c r="AV10" s="205"/>
      <c r="AW10" s="213"/>
      <c r="AX10" s="205"/>
      <c r="AY10" s="138">
        <f t="shared" ref="AY10:BC10" si="0">IF(ISNUMBER(S10),S10," - ")</f>
        <v>884</v>
      </c>
      <c r="AZ10" s="139">
        <f t="shared" si="0"/>
        <v>1688</v>
      </c>
      <c r="BA10" s="139">
        <f t="shared" si="0"/>
        <v>1804</v>
      </c>
      <c r="BB10" s="139">
        <f t="shared" si="0"/>
        <v>708</v>
      </c>
      <c r="BC10" s="135">
        <f t="shared" si="0"/>
        <v>658</v>
      </c>
      <c r="BD10" s="136">
        <f>IF(ISNUMBER(BA10/AZ10),BA10/AZ10," - ")</f>
        <v>1.0687203791469195</v>
      </c>
      <c r="BE10" s="137">
        <f>IF(ISNUMBER(BB10/BA10),BB10/BA10, " - ")</f>
        <v>0.39246119733924612</v>
      </c>
      <c r="BF10" s="137">
        <f>IF(ISNUMBER(BC10/BA10),BC10/BA10, " - ")</f>
        <v>0.3647450110864745</v>
      </c>
      <c r="BG10" s="209">
        <f>IF(ISNUMBER((AY10+AZ10)/BA10),(AY10+AZ10)/BA10," - ")</f>
        <v>1.4257206208425721</v>
      </c>
      <c r="BH10" s="168">
        <v>11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5101</v>
      </c>
      <c r="J11" s="196">
        <v>14130</v>
      </c>
      <c r="K11" s="196">
        <v>14167</v>
      </c>
      <c r="L11" s="196">
        <v>5278</v>
      </c>
      <c r="M11" s="196">
        <v>6322</v>
      </c>
      <c r="N11" s="196">
        <v>5259</v>
      </c>
      <c r="O11" s="194">
        <v>4805</v>
      </c>
      <c r="P11" s="196">
        <v>2232</v>
      </c>
      <c r="Q11" s="196">
        <v>2794</v>
      </c>
      <c r="R11" s="196">
        <v>4611</v>
      </c>
      <c r="S11" s="196">
        <v>6315</v>
      </c>
      <c r="T11" s="196">
        <v>14175</v>
      </c>
      <c r="U11" s="196">
        <v>15783</v>
      </c>
      <c r="V11" s="196">
        <v>5101</v>
      </c>
      <c r="W11" s="196">
        <v>7106</v>
      </c>
      <c r="X11" s="202">
        <v>5349</v>
      </c>
      <c r="Y11" s="204">
        <v>207</v>
      </c>
      <c r="Z11" s="194">
        <v>1347</v>
      </c>
      <c r="AA11" s="194">
        <v>1310</v>
      </c>
      <c r="AB11" s="194">
        <v>266</v>
      </c>
      <c r="AC11" s="196">
        <v>0</v>
      </c>
      <c r="AD11" s="196">
        <v>0</v>
      </c>
      <c r="AE11" s="196">
        <v>0</v>
      </c>
      <c r="AF11" s="202">
        <v>0</v>
      </c>
      <c r="AG11" s="215">
        <v>258</v>
      </c>
      <c r="AH11" s="196">
        <v>1291</v>
      </c>
      <c r="AI11" s="196">
        <v>1337</v>
      </c>
      <c r="AJ11" s="216">
        <v>207</v>
      </c>
      <c r="AK11" s="195">
        <v>0</v>
      </c>
      <c r="AL11" s="196">
        <v>0</v>
      </c>
      <c r="AM11" s="196">
        <v>0</v>
      </c>
      <c r="AN11" s="202">
        <v>0</v>
      </c>
      <c r="AO11" s="283">
        <v>14</v>
      </c>
      <c r="AP11" s="168">
        <v>14</v>
      </c>
      <c r="AQ11" s="168">
        <v>14</v>
      </c>
      <c r="AR11" s="167">
        <v>14</v>
      </c>
      <c r="AS11" s="381" t="s">
        <v>1074</v>
      </c>
      <c r="AT11" s="216"/>
      <c r="AU11" s="215"/>
      <c r="AV11" s="216"/>
      <c r="AW11" s="215"/>
      <c r="AX11" s="216"/>
      <c r="AY11" s="136">
        <f t="shared" ref="AY11:BB12" si="1">IF(ISNUMBER(IF(J_V="SI",S11,S11+AG11)),IF(J_V="SI",S11,S11+AG11)," - ")</f>
        <v>6573</v>
      </c>
      <c r="AZ11" s="137">
        <f t="shared" si="1"/>
        <v>15466</v>
      </c>
      <c r="BA11" s="137">
        <f t="shared" si="1"/>
        <v>17120</v>
      </c>
      <c r="BB11" s="137">
        <f t="shared" si="1"/>
        <v>5308</v>
      </c>
      <c r="BC11" s="135">
        <f>IF(ISNUMBER(X11),X11," - ")</f>
        <v>5349</v>
      </c>
      <c r="BD11" s="136">
        <f t="shared" ref="BD11:BD13" si="2">IF(ISNUMBER(BA11/AZ11),BA11/AZ11," - ")</f>
        <v>1.1069442648390018</v>
      </c>
      <c r="BE11" s="137">
        <f t="shared" ref="BE11:BE13" si="3">IF(ISNUMBER(BB11/BA11),BB11/BA11, " - ")</f>
        <v>0.31004672897196262</v>
      </c>
      <c r="BF11" s="137">
        <f t="shared" ref="BF11:BF13" si="4">IF(ISNUMBER(BC11/BA11),BC11/BA11, " - ")</f>
        <v>0.31244158878504674</v>
      </c>
      <c r="BG11" s="209">
        <f t="shared" ref="BG11:BG13" si="5">IF(ISNUMBER((AY11+AZ11)/BA11),(AY11+AZ11)/BA11," - ")</f>
        <v>1.2873247663551401</v>
      </c>
      <c r="BH11" s="168">
        <v>14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185756</v>
      </c>
      <c r="J14" s="197">
        <f t="shared" si="7"/>
        <v>211562</v>
      </c>
      <c r="K14" s="197">
        <f t="shared" si="7"/>
        <v>193783</v>
      </c>
      <c r="L14" s="197">
        <f t="shared" si="7"/>
        <v>205675</v>
      </c>
      <c r="M14" s="197">
        <f t="shared" si="7"/>
        <v>58643</v>
      </c>
      <c r="N14" s="197">
        <f t="shared" si="7"/>
        <v>94805</v>
      </c>
      <c r="O14" s="197">
        <f t="shared" si="7"/>
        <v>71856</v>
      </c>
      <c r="P14" s="197">
        <f t="shared" si="7"/>
        <v>36104</v>
      </c>
      <c r="Q14" s="197">
        <f t="shared" si="7"/>
        <v>35613</v>
      </c>
      <c r="R14" s="197">
        <f t="shared" si="7"/>
        <v>136576</v>
      </c>
      <c r="S14" s="197">
        <f t="shared" si="7"/>
        <v>159530</v>
      </c>
      <c r="T14" s="197">
        <f t="shared" si="7"/>
        <v>200877</v>
      </c>
      <c r="U14" s="197">
        <f t="shared" si="7"/>
        <v>178997</v>
      </c>
      <c r="V14" s="197">
        <f t="shared" si="7"/>
        <v>185756</v>
      </c>
      <c r="W14" s="197">
        <f t="shared" si="7"/>
        <v>52140</v>
      </c>
      <c r="X14" s="197">
        <f t="shared" si="7"/>
        <v>90213</v>
      </c>
      <c r="Y14" s="197">
        <f t="shared" si="7"/>
        <v>2925</v>
      </c>
      <c r="Z14" s="197">
        <f t="shared" si="7"/>
        <v>21546</v>
      </c>
      <c r="AA14" s="197">
        <f t="shared" si="7"/>
        <v>21412</v>
      </c>
      <c r="AB14" s="197">
        <f t="shared" si="7"/>
        <v>2977</v>
      </c>
      <c r="AC14" s="197">
        <f t="shared" si="7"/>
        <v>0</v>
      </c>
      <c r="AD14" s="197">
        <f t="shared" si="7"/>
        <v>0</v>
      </c>
      <c r="AE14" s="197">
        <f t="shared" si="7"/>
        <v>0</v>
      </c>
      <c r="AF14" s="197">
        <f>SUBTOTAL(9,AF9:AF13)</f>
        <v>0</v>
      </c>
      <c r="AG14" s="197">
        <f t="shared" ref="AG14:AT14" si="8">SUBTOTAL(9,AG8:AG13)</f>
        <v>2696</v>
      </c>
      <c r="AH14" s="197">
        <f t="shared" si="8"/>
        <v>24223</v>
      </c>
      <c r="AI14" s="197">
        <f t="shared" si="8"/>
        <v>24053</v>
      </c>
      <c r="AJ14" s="197">
        <f t="shared" si="8"/>
        <v>2925</v>
      </c>
      <c r="AK14" s="197">
        <f t="shared" si="8"/>
        <v>0</v>
      </c>
      <c r="AL14" s="197">
        <f t="shared" si="8"/>
        <v>0</v>
      </c>
      <c r="AM14" s="197">
        <f t="shared" si="8"/>
        <v>0</v>
      </c>
      <c r="AN14" s="197">
        <f t="shared" si="8"/>
        <v>0</v>
      </c>
      <c r="AO14" s="197">
        <f t="shared" si="8"/>
        <v>116</v>
      </c>
      <c r="AP14" s="197">
        <f t="shared" si="8"/>
        <v>116</v>
      </c>
      <c r="AQ14" s="197">
        <f t="shared" si="8"/>
        <v>116</v>
      </c>
      <c r="AR14" s="197">
        <f t="shared" si="8"/>
        <v>116</v>
      </c>
      <c r="AS14" s="197">
        <f t="shared" si="8"/>
        <v>0</v>
      </c>
      <c r="AT14" s="197">
        <f t="shared" si="8"/>
        <v>0</v>
      </c>
      <c r="AU14" s="217"/>
      <c r="AV14" s="142"/>
      <c r="AW14" s="217"/>
      <c r="AX14" s="142"/>
      <c r="AY14" s="197">
        <f>SUBTOTAL(9,AY8:AY13)</f>
        <v>162226</v>
      </c>
      <c r="AZ14" s="197">
        <f>SUBTOTAL(9,AZ8:AZ13)</f>
        <v>225100</v>
      </c>
      <c r="BA14" s="197">
        <f>SUBTOTAL(9,BA8:BA13)</f>
        <v>203050</v>
      </c>
      <c r="BB14" s="197">
        <f>SUBTOTAL(9,BB8:BB13)</f>
        <v>188681</v>
      </c>
      <c r="BC14" s="197">
        <f>SUBTOTAL(9,BC8:BC13)</f>
        <v>90129</v>
      </c>
      <c r="BD14" s="219">
        <f>IF(ISNUMBER(BA14/AZ14),BA14/AZ14," - ")</f>
        <v>0.90204353620613065</v>
      </c>
      <c r="BE14" s="220">
        <f>IF(ISNUMBER(BB14/BA14),BB14/BA14, " - ")</f>
        <v>0.92923417877370107</v>
      </c>
      <c r="BF14" s="220">
        <f>IF(ISNUMBER(BC14/BA14),BC14/BA14, " - ")</f>
        <v>0.44387589263728144</v>
      </c>
      <c r="BG14" s="221">
        <f>IF(ISNUMBER((AY14+AZ14)/BA14),(AY14+AZ14)/BA14," - ")</f>
        <v>1.9075400147746859</v>
      </c>
      <c r="BH14" s="153">
        <f>SUBTOTAL(9,BH8:BH13)</f>
        <v>116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25364</v>
      </c>
      <c r="J16" s="196">
        <v>136157</v>
      </c>
      <c r="K16" s="196">
        <v>137706</v>
      </c>
      <c r="L16" s="196">
        <v>28490</v>
      </c>
      <c r="M16" s="196">
        <v>22072</v>
      </c>
      <c r="N16" s="196">
        <v>73938</v>
      </c>
      <c r="O16" s="194">
        <v>6355</v>
      </c>
      <c r="P16" s="196">
        <v>9189</v>
      </c>
      <c r="Q16" s="196">
        <v>9557</v>
      </c>
      <c r="R16" s="196">
        <v>3857</v>
      </c>
      <c r="S16" s="196">
        <v>28036</v>
      </c>
      <c r="T16" s="196">
        <v>130574</v>
      </c>
      <c r="U16" s="196">
        <v>138631</v>
      </c>
      <c r="V16" s="196">
        <v>25364</v>
      </c>
      <c r="W16" s="196">
        <v>22158</v>
      </c>
      <c r="X16" s="202">
        <v>74799</v>
      </c>
      <c r="Y16" s="215">
        <v>0</v>
      </c>
      <c r="Z16" s="196">
        <v>0</v>
      </c>
      <c r="AA16" s="196">
        <v>0</v>
      </c>
      <c r="AB16" s="196">
        <v>0</v>
      </c>
      <c r="AC16" s="196">
        <v>393</v>
      </c>
      <c r="AD16" s="196">
        <v>21638</v>
      </c>
      <c r="AE16" s="196">
        <v>21642</v>
      </c>
      <c r="AF16" s="202">
        <v>389</v>
      </c>
      <c r="AG16" s="215">
        <v>0</v>
      </c>
      <c r="AH16" s="196">
        <v>0</v>
      </c>
      <c r="AI16" s="196">
        <v>0</v>
      </c>
      <c r="AJ16" s="216">
        <v>0</v>
      </c>
      <c r="AK16" s="195">
        <v>161</v>
      </c>
      <c r="AL16" s="196">
        <v>20268</v>
      </c>
      <c r="AM16" s="196">
        <v>19975</v>
      </c>
      <c r="AN16" s="202">
        <v>393</v>
      </c>
      <c r="AO16" s="283">
        <v>54</v>
      </c>
      <c r="AP16" s="168">
        <v>54</v>
      </c>
      <c r="AQ16" s="168">
        <v>54</v>
      </c>
      <c r="AR16" s="168">
        <v>54</v>
      </c>
      <c r="AS16" s="381" t="s">
        <v>702</v>
      </c>
      <c r="AT16" s="216" t="s">
        <v>424</v>
      </c>
      <c r="AU16" s="215"/>
      <c r="AV16" s="216"/>
      <c r="AW16" s="215"/>
      <c r="AX16" s="216"/>
      <c r="AY16" s="138">
        <f t="shared" ref="AY16:BB17" si="10">IF(ISNUMBER(IF(D_I="SI",S16,S16+AK16)),IF(D_I="SI",S16,S16+AK16)," - ")</f>
        <v>28036</v>
      </c>
      <c r="AZ16" s="139">
        <f t="shared" si="10"/>
        <v>130574</v>
      </c>
      <c r="BA16" s="139">
        <f t="shared" si="10"/>
        <v>138631</v>
      </c>
      <c r="BB16" s="139">
        <f t="shared" si="10"/>
        <v>25364</v>
      </c>
      <c r="BC16" s="135">
        <f>IF(ISNUMBER(W16),W16," - ")</f>
        <v>22158</v>
      </c>
      <c r="BD16" s="136">
        <f>IF(ISNUMBER(BA16/AZ16),BA16/AZ16," - ")</f>
        <v>1.06170447409132</v>
      </c>
      <c r="BE16" s="137">
        <f>IF(ISNUMBER(BB16/BA16),BB16/BA16, " - ")</f>
        <v>0.18296052109557026</v>
      </c>
      <c r="BF16" s="137">
        <f>IF(ISNUMBER(BC16/BA16),BC16/BA16, " - ")</f>
        <v>0.15983438047767093</v>
      </c>
      <c r="BG16" s="209">
        <f t="shared" ref="BG16:BG22" si="11">IF(ISNUMBER((AY16+AZ16)/BA16),(AY16+AZ16)/BA16," - ")</f>
        <v>1.1441163953228355</v>
      </c>
      <c r="BH16" s="168">
        <v>54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2654</v>
      </c>
      <c r="J18" s="196">
        <v>20231</v>
      </c>
      <c r="K18" s="196">
        <v>20224</v>
      </c>
      <c r="L18" s="196">
        <v>2889</v>
      </c>
      <c r="M18" s="196">
        <v>343</v>
      </c>
      <c r="N18" s="196">
        <v>13011</v>
      </c>
      <c r="O18" s="196">
        <v>10</v>
      </c>
      <c r="P18" s="196">
        <v>52</v>
      </c>
      <c r="Q18" s="196">
        <v>67</v>
      </c>
      <c r="R18" s="196">
        <v>34</v>
      </c>
      <c r="S18" s="196">
        <v>3015</v>
      </c>
      <c r="T18" s="196">
        <v>18840</v>
      </c>
      <c r="U18" s="196">
        <v>19441</v>
      </c>
      <c r="V18" s="196">
        <v>2654</v>
      </c>
      <c r="W18" s="196">
        <v>305</v>
      </c>
      <c r="X18" s="202">
        <v>11868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11</v>
      </c>
      <c r="AP18" s="168">
        <v>11</v>
      </c>
      <c r="AQ18" s="167">
        <v>11</v>
      </c>
      <c r="AR18" s="168">
        <v>11</v>
      </c>
      <c r="AS18" s="380" t="s">
        <v>1065</v>
      </c>
      <c r="AT18" s="223"/>
      <c r="AU18" s="213"/>
      <c r="AV18" s="223"/>
      <c r="AW18" s="213"/>
      <c r="AX18" s="223"/>
      <c r="AY18" s="138">
        <f t="shared" ref="AY18:BB19" si="15">IF(ISNUMBER(S18),S18," - ")</f>
        <v>3015</v>
      </c>
      <c r="AZ18" s="139">
        <f t="shared" si="15"/>
        <v>18840</v>
      </c>
      <c r="BA18" s="139">
        <f t="shared" si="15"/>
        <v>19441</v>
      </c>
      <c r="BB18" s="139">
        <f t="shared" si="15"/>
        <v>2654</v>
      </c>
      <c r="BC18" s="135">
        <f>IF(ISNUMBER(W18),W18," - ")</f>
        <v>305</v>
      </c>
      <c r="BD18" s="136">
        <f>IF(ISNUMBER(BA18/AZ18),BA18/AZ18," - ")</f>
        <v>1.0319002123142251</v>
      </c>
      <c r="BE18" s="137">
        <f>IF(ISNUMBER(BB18/BA18),BB18/BA18, " - ")</f>
        <v>0.13651561133686538</v>
      </c>
      <c r="BF18" s="137">
        <f>IF(ISNUMBER(BC18/BA18),BC18/BA18, " - ")</f>
        <v>1.5688493390257702E-2</v>
      </c>
      <c r="BG18" s="209">
        <f>IF(ISNUMBER((AY18+AZ18)/BA18),(AY18+AZ18)/BA18," - ")</f>
        <v>1.1241705673576463</v>
      </c>
      <c r="BH18" s="168">
        <v>11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28018</v>
      </c>
      <c r="J23" s="197">
        <f t="shared" si="21"/>
        <v>156388</v>
      </c>
      <c r="K23" s="197">
        <f t="shared" si="21"/>
        <v>157930</v>
      </c>
      <c r="L23" s="197">
        <f t="shared" si="21"/>
        <v>31379</v>
      </c>
      <c r="M23" s="197">
        <f t="shared" si="21"/>
        <v>22415</v>
      </c>
      <c r="N23" s="197">
        <f t="shared" si="21"/>
        <v>86949</v>
      </c>
      <c r="O23" s="197">
        <f t="shared" si="21"/>
        <v>6365</v>
      </c>
      <c r="P23" s="197">
        <f t="shared" si="21"/>
        <v>9241</v>
      </c>
      <c r="Q23" s="197">
        <f t="shared" si="21"/>
        <v>9624</v>
      </c>
      <c r="R23" s="197">
        <f t="shared" si="21"/>
        <v>3891</v>
      </c>
      <c r="S23" s="197">
        <f t="shared" si="21"/>
        <v>31051</v>
      </c>
      <c r="T23" s="197">
        <f t="shared" si="21"/>
        <v>149414</v>
      </c>
      <c r="U23" s="197">
        <f t="shared" si="21"/>
        <v>158072</v>
      </c>
      <c r="V23" s="197">
        <f t="shared" si="21"/>
        <v>28018</v>
      </c>
      <c r="W23" s="197">
        <f t="shared" si="21"/>
        <v>22463</v>
      </c>
      <c r="X23" s="197">
        <f t="shared" si="21"/>
        <v>86667</v>
      </c>
      <c r="Y23" s="197">
        <f t="shared" si="21"/>
        <v>0</v>
      </c>
      <c r="Z23" s="197">
        <f t="shared" si="21"/>
        <v>0</v>
      </c>
      <c r="AA23" s="197">
        <f t="shared" si="21"/>
        <v>0</v>
      </c>
      <c r="AB23" s="197">
        <f t="shared" si="21"/>
        <v>0</v>
      </c>
      <c r="AC23" s="197">
        <f t="shared" si="21"/>
        <v>393</v>
      </c>
      <c r="AD23" s="197">
        <f t="shared" si="21"/>
        <v>21638</v>
      </c>
      <c r="AE23" s="197">
        <f t="shared" si="21"/>
        <v>21642</v>
      </c>
      <c r="AF23" s="197">
        <f t="shared" si="21"/>
        <v>389</v>
      </c>
      <c r="AG23" s="197">
        <f t="shared" si="21"/>
        <v>0</v>
      </c>
      <c r="AH23" s="197">
        <f t="shared" si="21"/>
        <v>0</v>
      </c>
      <c r="AI23" s="197">
        <f t="shared" si="21"/>
        <v>0</v>
      </c>
      <c r="AJ23" s="197">
        <f t="shared" si="21"/>
        <v>0</v>
      </c>
      <c r="AK23" s="197">
        <f t="shared" si="21"/>
        <v>161</v>
      </c>
      <c r="AL23" s="197">
        <f t="shared" si="21"/>
        <v>20268</v>
      </c>
      <c r="AM23" s="197">
        <f t="shared" si="21"/>
        <v>19975</v>
      </c>
      <c r="AN23" s="197">
        <f t="shared" si="21"/>
        <v>393</v>
      </c>
      <c r="AO23" s="197">
        <f t="shared" si="21"/>
        <v>65</v>
      </c>
      <c r="AP23" s="197">
        <f t="shared" si="21"/>
        <v>65</v>
      </c>
      <c r="AQ23" s="197">
        <f t="shared" si="21"/>
        <v>65</v>
      </c>
      <c r="AR23" s="197">
        <f t="shared" si="21"/>
        <v>65</v>
      </c>
      <c r="AS23" s="197">
        <f t="shared" si="21"/>
        <v>0</v>
      </c>
      <c r="AT23" s="197">
        <f t="shared" si="21"/>
        <v>0</v>
      </c>
      <c r="AU23" s="217"/>
      <c r="AV23" s="142"/>
      <c r="AW23" s="217"/>
      <c r="AX23" s="142"/>
      <c r="AY23" s="197">
        <f>SUBTOTAL(9,AY15:AY22)</f>
        <v>31051</v>
      </c>
      <c r="AZ23" s="197">
        <f>SUBTOTAL(9,AZ15:AZ22)</f>
        <v>149414</v>
      </c>
      <c r="BA23" s="197">
        <f>SUBTOTAL(9,BA15:BA22)</f>
        <v>158072</v>
      </c>
      <c r="BB23" s="197">
        <f>SUBTOTAL(9,BB15:BB22)</f>
        <v>28018</v>
      </c>
      <c r="BC23" s="197">
        <f>SUBTOTAL(9,BC15:BC22)</f>
        <v>22463</v>
      </c>
      <c r="BD23" s="219">
        <f>IF(ISNUMBER(BA23/AZ23),BA23/AZ23," - ")</f>
        <v>1.057946377180184</v>
      </c>
      <c r="BE23" s="220">
        <f>IF(ISNUMBER(BB23/BA23),BB23/BA23, " - ")</f>
        <v>0.17724834252745583</v>
      </c>
      <c r="BF23" s="220">
        <f>IF(ISNUMBER(BC23/BA23),BC23/BA23, " - ")</f>
        <v>0.14210612885267473</v>
      </c>
      <c r="BG23" s="221">
        <f>IF(ISNUMBER((AY23+AZ23)/BA23),(AY23+AZ23)/BA23," - ")</f>
        <v>1.1416632926767549</v>
      </c>
      <c r="BH23" s="197">
        <f>SUBTOTAL(9,BH15:BH22)</f>
        <v>65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213774</v>
      </c>
      <c r="J31" s="144">
        <f t="shared" si="36"/>
        <v>367950</v>
      </c>
      <c r="K31" s="144">
        <f t="shared" si="36"/>
        <v>351713</v>
      </c>
      <c r="L31" s="144">
        <f t="shared" si="36"/>
        <v>237054</v>
      </c>
      <c r="M31" s="144">
        <f t="shared" si="36"/>
        <v>81058</v>
      </c>
      <c r="N31" s="144">
        <f t="shared" si="36"/>
        <v>181754</v>
      </c>
      <c r="O31" s="144">
        <f t="shared" si="36"/>
        <v>78221</v>
      </c>
      <c r="P31" s="144">
        <f t="shared" si="36"/>
        <v>45345</v>
      </c>
      <c r="Q31" s="144">
        <f t="shared" si="36"/>
        <v>45237</v>
      </c>
      <c r="R31" s="144">
        <f t="shared" si="36"/>
        <v>140467</v>
      </c>
      <c r="S31" s="144">
        <f t="shared" si="36"/>
        <v>190581</v>
      </c>
      <c r="T31" s="144">
        <f t="shared" si="36"/>
        <v>350291</v>
      </c>
      <c r="U31" s="144">
        <f t="shared" si="36"/>
        <v>337069</v>
      </c>
      <c r="V31" s="144">
        <f t="shared" si="36"/>
        <v>213774</v>
      </c>
      <c r="W31" s="144">
        <f t="shared" si="36"/>
        <v>74603</v>
      </c>
      <c r="X31" s="144">
        <f t="shared" si="36"/>
        <v>176880</v>
      </c>
      <c r="Y31" s="144">
        <f t="shared" si="36"/>
        <v>2925</v>
      </c>
      <c r="Z31" s="144">
        <f t="shared" si="36"/>
        <v>21546</v>
      </c>
      <c r="AA31" s="144">
        <f t="shared" si="36"/>
        <v>21412</v>
      </c>
      <c r="AB31" s="144">
        <f t="shared" si="36"/>
        <v>2977</v>
      </c>
      <c r="AC31" s="144">
        <f t="shared" si="36"/>
        <v>393</v>
      </c>
      <c r="AD31" s="144">
        <f t="shared" si="36"/>
        <v>21638</v>
      </c>
      <c r="AE31" s="144">
        <f t="shared" si="36"/>
        <v>21642</v>
      </c>
      <c r="AF31" s="144">
        <f t="shared" si="36"/>
        <v>389</v>
      </c>
      <c r="AG31" s="144">
        <f t="shared" si="36"/>
        <v>2696</v>
      </c>
      <c r="AH31" s="144">
        <f t="shared" si="36"/>
        <v>24223</v>
      </c>
      <c r="AI31" s="144">
        <f t="shared" si="36"/>
        <v>24053</v>
      </c>
      <c r="AJ31" s="144">
        <f t="shared" si="36"/>
        <v>2925</v>
      </c>
      <c r="AK31" s="144">
        <f t="shared" si="36"/>
        <v>161</v>
      </c>
      <c r="AL31" s="144">
        <f t="shared" si="36"/>
        <v>20268</v>
      </c>
      <c r="AM31" s="144">
        <f t="shared" si="36"/>
        <v>19975</v>
      </c>
      <c r="AN31" s="224">
        <f t="shared" si="36"/>
        <v>393</v>
      </c>
      <c r="AO31" s="225">
        <v>170</v>
      </c>
      <c r="AP31" s="225">
        <v>170</v>
      </c>
      <c r="AQ31" s="225">
        <v>170</v>
      </c>
      <c r="AR31" s="225">
        <v>170</v>
      </c>
      <c r="AS31" s="166">
        <f t="shared" si="36"/>
        <v>0</v>
      </c>
      <c r="AT31" s="166">
        <f t="shared" si="36"/>
        <v>0</v>
      </c>
      <c r="AU31" s="225"/>
      <c r="AV31" s="226"/>
      <c r="AW31" s="225"/>
      <c r="AX31" s="226"/>
      <c r="AY31" s="143">
        <f>SUBTOTAL(9,AY9:AY30)</f>
        <v>193277</v>
      </c>
      <c r="AZ31" s="144">
        <f>SUBTOTAL(9,AZ9:AZ30)</f>
        <v>374514</v>
      </c>
      <c r="BA31" s="144">
        <f>SUBTOTAL(9,BA9:BA30)</f>
        <v>361122</v>
      </c>
      <c r="BB31" s="144">
        <f>SUBTOTAL(9,BB9:BB30)</f>
        <v>216699</v>
      </c>
      <c r="BC31" s="145">
        <f>SUBTOTAL(9,BC9:BC30)</f>
        <v>112592</v>
      </c>
      <c r="BD31" s="227">
        <f>IF(ISNUMBER(BA31/AZ31),BA31/AZ31," - ")</f>
        <v>0.96424165718771526</v>
      </c>
      <c r="BE31" s="224">
        <f>IF(ISNUMBER(BB31/BA31),BB31/BA31, " - ")</f>
        <v>0.60007144399953483</v>
      </c>
      <c r="BF31" s="224">
        <f>IF(ISNUMBER(BC31/BA31),BC31/BA31, " - ")</f>
        <v>0.31178382928760917</v>
      </c>
      <c r="BG31" s="145">
        <f>IF(ISNUMBER((AY31+AZ31)/BA31),(AY31+AZ31)/BA31," - ")</f>
        <v>1.5722968968935707</v>
      </c>
      <c r="BH31" s="225">
        <f>SUBTOTAL(9,BH9:BH30)</f>
        <v>181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KOQeiCOgMVs8X+pfkqSCVTkyAwFbuwSE/eeOOh4ICIkqEnSI+9PpaxJsZbgA+MXozsYkuELMFT/b+Og303iOw==" saltValue="ZGL3bql7lPHxVVm+XLAm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xChtuW2eJOWXSmZZXWpz9ccMFx3nVu/I4Qv1wi0psJlccBkLsFtLC7ljZYASBYpRYIxISUIHgVD2HjvzDSQ4w==" saltValue="c9vzVAdDaJJixTZcIHak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MADRID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91</v>
      </c>
      <c r="B9" s="745" t="s">
        <v>321</v>
      </c>
      <c r="C9" s="765" t="str">
        <f>Datos!A9</f>
        <v xml:space="preserve">Jdos. 1ª Instancia   </v>
      </c>
      <c r="D9" s="593"/>
      <c r="E9" s="764">
        <f>IF(ISNUMBER(Datos!AQ9),Datos!AQ9," - ")</f>
        <v>91</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20199</v>
      </c>
      <c r="O9" s="549"/>
      <c r="P9" s="549"/>
      <c r="Q9" s="547">
        <f>IF(ISNUMBER(Datos!P9),Datos!P9,0)</f>
        <v>33412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32406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2711</v>
      </c>
      <c r="AI9" s="549" t="str">
        <f>IF(ISNUMBER(Datos!CD9),Datos!CD9,"-")</f>
        <v>-</v>
      </c>
      <c r="AJ9" s="549" t="str">
        <f>IF(ISNUMBER(Datos!EN9),Datos!EN9," - ")</f>
        <v xml:space="preserve"> - </v>
      </c>
      <c r="AK9" s="549"/>
      <c r="AL9" s="550"/>
      <c r="AM9" s="766">
        <f>IF(ISNUMBER(Datos!R9),Datos!R9," - ")</f>
        <v>131044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51754</v>
      </c>
      <c r="BD9" s="693">
        <f>IF(ISNUMBER(Datos!N9),Datos!N9," - ")</f>
        <v>88763</v>
      </c>
      <c r="BE9" s="693" t="str">
        <f>IF(ISNUMBER(Datos!BW9),Datos!BW9," - ")</f>
        <v xml:space="preserve"> - </v>
      </c>
      <c r="BF9" s="762" t="str">
        <f>IF(ISNUMBER(Datos!BX9),Datos!BX9," - ")</f>
        <v xml:space="preserve"> - </v>
      </c>
      <c r="BG9" s="763">
        <f>IF(ISNUMBER(IF(J_V="SI",Datos!K9/Datos!J9,(Datos!K9+Datos!AA9)/(Datos!J9+Datos!Z9))),IF(J_V="SI",Datos!K9/Datos!J9,(Datos!K9+Datos!AA9)/(Datos!J9+Datos!Z9))," - ")</f>
        <v>0.91733802784276486</v>
      </c>
      <c r="BH9" s="764">
        <f>IF(ISNUMBER(((IF(J_V="SI",Datos!L9/Datos!K9,(Datos!L9+Datos!AB9)/(Datos!K9+Datos!AA9)))*11)/factor_trimestre),((IF(J_V="SI",Datos!L9/Datos!K9,(Datos!L9+Datos!AB9)/(Datos!K9+Datos!AA9)))*11)/factor_trimestre," - ")</f>
        <v>11.238985516029333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7.7362001876374598E-3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11</v>
      </c>
      <c r="B10" s="746" t="s">
        <v>321</v>
      </c>
      <c r="C10" s="747" t="str">
        <f>Datos!A10</f>
        <v>Jdos. Violencia contra la mujer</v>
      </c>
      <c r="D10" s="601"/>
      <c r="E10" s="764">
        <f>IF(ISNUMBER(Datos!AQ10),Datos!AQ10," - ")</f>
        <v>11</v>
      </c>
      <c r="F10" s="552">
        <f>IF(ISNUMBER(Datos!L10+Datos!K10-Datos!J10),Datos!L10+Datos!K10-Datos!J10," - ")</f>
        <v>724</v>
      </c>
      <c r="G10" s="543">
        <f>IF(ISNUMBER(Datos!I10),Datos!I10," - ")</f>
        <v>708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460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1706</v>
      </c>
      <c r="AC10" s="547">
        <f>IF(ISNUMBER(Datos!Q10),Datos!Q10," - ")</f>
        <v>413</v>
      </c>
      <c r="AD10" s="549"/>
      <c r="AE10" s="563"/>
      <c r="AF10" s="551">
        <f>IF(ISNUMBER(Datos!L10),Datos!L10,"-")</f>
        <v>794</v>
      </c>
      <c r="AG10" s="549"/>
      <c r="AH10" s="549"/>
      <c r="AI10" s="549"/>
      <c r="AJ10" s="549"/>
      <c r="AK10" s="549"/>
      <c r="AL10" s="550"/>
      <c r="AM10" s="766">
        <f>IF(ISNUMBER(Datos!R10),Datos!R10," - ")</f>
        <v>921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567</v>
      </c>
      <c r="BD10" s="693">
        <f>IF(ISNUMBER(Datos!N10),Datos!N10," - ")</f>
        <v>783</v>
      </c>
      <c r="BE10" s="693" t="str">
        <f>IF(ISNUMBER(Datos!BW10),Datos!BW10," - ")</f>
        <v xml:space="preserve"> - </v>
      </c>
      <c r="BF10" s="762" t="str">
        <f>IF(ISNUMBER(Datos!BX10),Datos!BX10," - ")</f>
        <v xml:space="preserve"> - </v>
      </c>
      <c r="BG10" s="763">
        <f>IF(ISNUMBER(Datos!K10/Datos!J10),Datos!K10/Datos!J10," - ")</f>
        <v>0.9605855855855856</v>
      </c>
      <c r="BH10" s="764">
        <f>IF(ISNUMBER(((Datos!L10/Datos!K10)*11)/factor_trimestre),((Datos!L10/Datos!K10)*11)/factor_trimestre," - ")</f>
        <v>5.1195779601406803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5.3775743707093822E-2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14</v>
      </c>
      <c r="B11" s="746" t="s">
        <v>321</v>
      </c>
      <c r="C11" s="747" t="str">
        <f>Datos!A11</f>
        <v xml:space="preserve">Jdos. Familia                                   </v>
      </c>
      <c r="D11" s="601"/>
      <c r="E11" s="764">
        <f>IF(ISNUMBER(Datos!AQ11),Datos!AQ11," - ")</f>
        <v>14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1347</v>
      </c>
      <c r="O11" s="549"/>
      <c r="P11" s="549"/>
      <c r="Q11" s="547">
        <f>IF(ISNUMBER(Datos!P11),Datos!P11,0)</f>
        <v>2232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2794</v>
      </c>
      <c r="AD11" s="549"/>
      <c r="AE11" s="563"/>
      <c r="AF11" s="551" t="str">
        <f>IF(ISNUMBER(IF(J_V="SI",Datos!L11,Datos!L11+Datos!AB11)-IF(Monitorios="SI",Datos!CD11,0)),
                          IF(J_V="SI",Datos!L11,Datos!L11+Datos!AB11)-IF(Monitorios="SI",Datos!CD11,0),
                          " - ")</f>
        <v xml:space="preserve"> - </v>
      </c>
      <c r="AG11" s="549"/>
      <c r="AH11" s="549">
        <f>IF(ISNUMBER(Datos!AB11),Datos!AB11,"-")</f>
        <v>266</v>
      </c>
      <c r="AI11" s="549"/>
      <c r="AJ11" s="549"/>
      <c r="AK11" s="549"/>
      <c r="AL11" s="550"/>
      <c r="AM11" s="766">
        <f>IF(ISNUMBER(Datos!R11),Datos!R11," - ")</f>
        <v>4611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6322</v>
      </c>
      <c r="BD11" s="693">
        <f>IF(ISNUMBER(Datos!N11),Datos!N11," - ")</f>
        <v>5259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v>
      </c>
      <c r="BH11" s="764">
        <f>IF(ISNUMBER(((IF(J_V="SI",Datos!L11/Datos!K11,(Datos!L11+Datos!AB11)/(Datos!K11+Datos!AA11)))*11)/factor_trimestre),((IF(J_V="SI",Datos!L11/Datos!K11,(Datos!L11+Datos!AB11)/(Datos!K11+Datos!AA11)))*11)/factor_trimestre," - ")</f>
        <v>3.9402985074626864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-0.10864102068432244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116</v>
      </c>
      <c r="F14" s="1197">
        <f t="shared" si="1"/>
        <v>724</v>
      </c>
      <c r="G14" s="1197">
        <f t="shared" si="1"/>
        <v>708</v>
      </c>
      <c r="H14" s="1198">
        <f t="shared" si="1"/>
        <v>0</v>
      </c>
      <c r="I14" s="1197">
        <f t="shared" si="1"/>
        <v>0</v>
      </c>
      <c r="J14" s="1164">
        <f t="shared" si="1"/>
        <v>0</v>
      </c>
      <c r="K14" s="1164">
        <f t="shared" si="1"/>
        <v>0</v>
      </c>
      <c r="L14" s="1198">
        <f t="shared" si="1"/>
        <v>0</v>
      </c>
      <c r="M14" s="1198">
        <f t="shared" si="1"/>
        <v>0</v>
      </c>
      <c r="N14" s="1198">
        <f t="shared" si="1"/>
        <v>21546</v>
      </c>
      <c r="O14" s="1199">
        <f t="shared" si="1"/>
        <v>0</v>
      </c>
      <c r="P14" s="1199">
        <f t="shared" si="1"/>
        <v>0</v>
      </c>
      <c r="Q14" s="1198">
        <f t="shared" si="1"/>
        <v>36104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1706</v>
      </c>
      <c r="AC14" s="1198">
        <f t="shared" si="2"/>
        <v>35613</v>
      </c>
      <c r="AD14" s="1198">
        <f t="shared" si="2"/>
        <v>0</v>
      </c>
      <c r="AE14" s="1198">
        <f t="shared" si="2"/>
        <v>0</v>
      </c>
      <c r="AF14" s="1198">
        <f t="shared" si="2"/>
        <v>794</v>
      </c>
      <c r="AG14" s="1198">
        <f t="shared" si="2"/>
        <v>0</v>
      </c>
      <c r="AH14" s="1198">
        <f t="shared" si="2"/>
        <v>2977</v>
      </c>
      <c r="AI14" s="1198">
        <f t="shared" si="2"/>
        <v>0</v>
      </c>
      <c r="AJ14" s="1198">
        <f t="shared" si="2"/>
        <v>0</v>
      </c>
      <c r="AK14" s="1198">
        <f t="shared" si="2"/>
        <v>0</v>
      </c>
      <c r="AL14" s="1198">
        <f t="shared" si="2"/>
        <v>0</v>
      </c>
      <c r="AM14" s="1198">
        <f t="shared" si="2"/>
        <v>136576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58643</v>
      </c>
      <c r="BD14" s="1198">
        <f t="shared" si="2"/>
        <v>94805</v>
      </c>
      <c r="BE14" s="1198">
        <f t="shared" si="2"/>
        <v>0</v>
      </c>
      <c r="BF14" s="1198">
        <f t="shared" si="2"/>
        <v>0</v>
      </c>
      <c r="BG14" s="1198">
        <f>IF(ISNUMBER(Datos!K14/Datos!J14),Datos!K14/Datos!J14," - ")</f>
        <v>0.91596316918917386</v>
      </c>
      <c r="BH14" s="1202">
        <f>IF(ISNUMBER(((Datos!L14/Datos!K14)*11)/factor_trimestre),((Datos!L14/Datos!K14)*11)/factor_trimestre," - ")</f>
        <v>11.675043734486513</v>
      </c>
      <c r="BI14" s="1198">
        <f>IF(ISNUMBER('Resol  Asuntos'!D14/NºAsuntos!G14),'Resol  Asuntos'!D14/NºAsuntos!G14," - ")</f>
        <v>0.272510978414926</v>
      </c>
      <c r="BJ14" s="1198" t="str">
        <f>IF(ISNUMBER(Datos!CI14/Datos!CJ14),Datos!CI14/Datos!CJ14," - ")</f>
        <v xml:space="preserve"> - </v>
      </c>
      <c r="BK14" s="1198">
        <f>SUBTOTAL(9,BK8:BK13)</f>
        <v>0</v>
      </c>
      <c r="BL14" s="1198">
        <f>IF(ISNUMBER((I14-AB14+L14)/(F14)),(I14-AB14+L14)/(F14)," - ")</f>
        <v>-2.3563535911602211</v>
      </c>
      <c r="BM14" s="1203">
        <f>SUBTOTAL(9,BM9:BM13)</f>
        <v>-4.7129076789591155E-2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54</v>
      </c>
      <c r="B16" s="737" t="s">
        <v>511</v>
      </c>
      <c r="C16" s="749" t="str">
        <f>Datos!A16</f>
        <v xml:space="preserve">Jdos. Instrucción                               </v>
      </c>
      <c r="D16" s="750"/>
      <c r="E16" s="1555">
        <f>IF(ISNUMBER(Datos!AQ16),Datos!AQ16," - ")</f>
        <v>54</v>
      </c>
      <c r="F16" s="740">
        <f>IF(ISNUMBER(AF16+AB16-Datos!J16-L16),AF16+AB16-Datos!J16-L16," - ")</f>
        <v>30039</v>
      </c>
      <c r="G16" s="743">
        <f>IF(ISNUMBER(IF(D_I="SI",Datos!I16,Datos!I16+Datos!AC16)),IF(D_I="SI",Datos!I16,Datos!I16+Datos!AC16)," - ")</f>
        <v>25364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9189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137706</v>
      </c>
      <c r="AC16" s="240">
        <f>IF(ISNUMBER(Datos!Q16),Datos!Q16," - ")</f>
        <v>9557</v>
      </c>
      <c r="AD16" s="374"/>
      <c r="AE16" s="562"/>
      <c r="AF16" s="741">
        <f>IF(ISNUMBER(IF(D_I="SI",Datos!L16,Datos!L16+Datos!AF16)),IF(D_I="SI",Datos!L16,Datos!L16+Datos!AF16)," - ")</f>
        <v>28490</v>
      </c>
      <c r="AG16" s="374"/>
      <c r="AH16" s="374"/>
      <c r="AI16" s="374"/>
      <c r="AJ16" s="549"/>
      <c r="AK16" s="374"/>
      <c r="AL16" s="545"/>
      <c r="AM16" s="375">
        <f>IF(ISNUMBER(Datos!R16),Datos!R16," - ")</f>
        <v>3857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22072</v>
      </c>
      <c r="BD16" s="243">
        <f>IF(ISNUMBER(Datos!N16),Datos!N16," - ")</f>
        <v>73938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1.0113765726330632</v>
      </c>
      <c r="BH16" s="764">
        <f>IF(ISNUMBER(((IF(D_I="SI",Datos!L16/Datos!K16,(Datos!L16+Datos!AF16)/(Datos!K16+Datos!AE16)))*11)/factor_trimestre),((IF(D_I="SI",Datos!L16/Datos!K16,(Datos!L16+Datos!AF16)/(Datos!K16+Datos!AE16)))*11)/factor_trimestre," - ")</f>
        <v>2.2757904521226378</v>
      </c>
      <c r="BI16" s="266">
        <f>IF(ISNUMBER('Resol  Asuntos'!D16/NºAsuntos!G16),'Resol  Asuntos'!D16/NºAsuntos!G16," - ")</f>
        <v>0.16028350253438484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11</v>
      </c>
      <c r="B18" s="746" t="s">
        <v>511</v>
      </c>
      <c r="C18" s="747" t="str">
        <f>Datos!A18</f>
        <v>Jdos. Violencia contra la mujer</v>
      </c>
      <c r="D18" s="601"/>
      <c r="E18" s="1380">
        <f>IF(ISNUMBER(Datos!AQ18),Datos!AQ18," - ")</f>
        <v>11</v>
      </c>
      <c r="F18" s="552" t="str">
        <f>IF(ISNUMBER(AF18+AB18-I18-L18),AF18+AB18-I18-L18," - ")</f>
        <v xml:space="preserve"> - </v>
      </c>
      <c r="G18" s="543">
        <f>IF(ISNUMBER(IF(D_I="SI",Datos!I18,Datos!I18+Datos!AC18)),IF(D_I="SI",Datos!I18,Datos!I18+Datos!AC18)," - ")</f>
        <v>2654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20224</v>
      </c>
      <c r="AC18" s="547">
        <f>IF(ISNUMBER(Datos!Q18),Datos!Q18," - ")</f>
        <v>67</v>
      </c>
      <c r="AD18" s="549"/>
      <c r="AE18" s="562"/>
      <c r="AF18" s="551">
        <f>IF(ISNUMBER(Datos!L18),Datos!L18,"-")</f>
        <v>2889</v>
      </c>
      <c r="AG18" s="549"/>
      <c r="AH18" s="549"/>
      <c r="AI18" s="549"/>
      <c r="AJ18" s="549"/>
      <c r="AK18" s="549"/>
      <c r="AL18" s="550"/>
      <c r="AM18" s="766">
        <f>IF(ISNUMBER(Datos!R18),Datos!R18," - ")</f>
        <v>34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343</v>
      </c>
      <c r="BD18" s="693">
        <f>IF(ISNUMBER(Datos!N18),Datos!N18," - ")</f>
        <v>13011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0.99965399634224705</v>
      </c>
      <c r="BH18" s="764">
        <f>IF(ISNUMBER(((IF(D_I="SI",Datos!L18/Datos!K18,(Datos!L18+Datos!AF18)/(Datos!K18+Datos!AE18)))*11)/factor_trimestre),((IF(D_I="SI",Datos!L18/Datos!K18,(Datos!L18+Datos!AF18)/(Datos!K18+Datos!AE18)))*11)/factor_trimestre," - ")</f>
        <v>1.5713508702531647</v>
      </c>
      <c r="BI18" s="763">
        <f>IF(ISNUMBER('Resol  Asuntos'!D18/NºAsuntos!G18),'Resol  Asuntos'!D18/NºAsuntos!G18," - ")</f>
        <v>1.6960047468354431E-2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65</v>
      </c>
      <c r="F23" s="1197">
        <f>SUBTOTAL(9,F16:F22)</f>
        <v>30039</v>
      </c>
      <c r="G23" s="1197">
        <f>SUBTOTAL(9,G16:G22)</f>
        <v>28018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9241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157930</v>
      </c>
      <c r="AC23" s="1198">
        <f t="shared" si="5"/>
        <v>9624</v>
      </c>
      <c r="AD23" s="1198">
        <f t="shared" si="5"/>
        <v>0</v>
      </c>
      <c r="AE23" s="1198">
        <f t="shared" si="5"/>
        <v>0</v>
      </c>
      <c r="AF23" s="1198">
        <f t="shared" si="5"/>
        <v>31379</v>
      </c>
      <c r="AG23" s="1198">
        <f t="shared" si="5"/>
        <v>0</v>
      </c>
      <c r="AH23" s="1198">
        <f t="shared" si="5"/>
        <v>0</v>
      </c>
      <c r="AI23" s="1198">
        <f t="shared" si="5"/>
        <v>0</v>
      </c>
      <c r="AJ23" s="1198">
        <f t="shared" si="5"/>
        <v>0</v>
      </c>
      <c r="AK23" s="1198">
        <f t="shared" si="5"/>
        <v>0</v>
      </c>
      <c r="AL23" s="1198">
        <f t="shared" si="5"/>
        <v>0</v>
      </c>
      <c r="AM23" s="1198">
        <f t="shared" si="5"/>
        <v>3891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22415</v>
      </c>
      <c r="BD23" s="1198">
        <f t="shared" si="5"/>
        <v>86949</v>
      </c>
      <c r="BE23" s="1198">
        <f t="shared" si="5"/>
        <v>0</v>
      </c>
      <c r="BF23" s="1198">
        <f t="shared" si="5"/>
        <v>0</v>
      </c>
      <c r="BG23" s="1198">
        <f>IF(ISNUMBER(Datos!K23/Datos!J23),Datos!K23/Datos!J23," - ")</f>
        <v>1.0098600915671279</v>
      </c>
      <c r="BH23" s="1202">
        <f>IF(ISNUMBER(((Datos!L23/Datos!K23)*11)/factor_trimestre),((Datos!L23/Datos!K23)*11)/factor_trimestre," - ")</f>
        <v>2.1855822199708732</v>
      </c>
      <c r="BI23" s="1198">
        <f>SUBTOTAL(9,BI16:BI22)</f>
        <v>0.17724355000273928</v>
      </c>
      <c r="BJ23" s="1198">
        <f>SUBTOTAL(9,BJ16:BJ22)</f>
        <v>0</v>
      </c>
      <c r="BK23" s="1198">
        <f>SUBTOTAL(9,BK16:BK22)</f>
        <v>0</v>
      </c>
      <c r="BL23" s="1198">
        <f>IF(ISNUMBER((I23-AB23+L23)/(F23)),(I23-AB23+L23)/(F23)," - ")</f>
        <v>-5.257498585172609</v>
      </c>
      <c r="BM23" s="1205">
        <f>IF(ISNUMBER((Datos!P23-Datos!Q23)/(Datos!R23-Datos!P23+Datos!Q23)),(Datos!P23-Datos!Q23)/(Datos!R23-Datos!P23+Datos!Q23)," - ")</f>
        <v>-8.9611605053813756E-2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181</v>
      </c>
      <c r="F31" s="1117">
        <f t="shared" si="18"/>
        <v>30763</v>
      </c>
      <c r="G31" s="1117">
        <f t="shared" si="18"/>
        <v>28726</v>
      </c>
      <c r="H31" s="1119">
        <f t="shared" si="18"/>
        <v>0</v>
      </c>
      <c r="I31" s="1117">
        <f t="shared" si="18"/>
        <v>0</v>
      </c>
      <c r="J31" s="1119">
        <f t="shared" si="18"/>
        <v>0</v>
      </c>
      <c r="K31" s="1119">
        <f t="shared" si="18"/>
        <v>0</v>
      </c>
      <c r="L31" s="1180">
        <f t="shared" si="18"/>
        <v>0</v>
      </c>
      <c r="M31" s="1180">
        <f t="shared" si="18"/>
        <v>0</v>
      </c>
      <c r="N31" s="1180">
        <f t="shared" si="18"/>
        <v>21546</v>
      </c>
      <c r="O31" s="1180">
        <f t="shared" si="18"/>
        <v>0</v>
      </c>
      <c r="P31" s="1180">
        <f t="shared" si="18"/>
        <v>0</v>
      </c>
      <c r="Q31" s="1119">
        <f t="shared" si="18"/>
        <v>45345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159636</v>
      </c>
      <c r="AC31" s="1118">
        <f t="shared" si="19"/>
        <v>45237</v>
      </c>
      <c r="AD31" s="1118">
        <f t="shared" si="19"/>
        <v>0</v>
      </c>
      <c r="AE31" s="1118">
        <f t="shared" si="19"/>
        <v>0</v>
      </c>
      <c r="AF31" s="1125">
        <f t="shared" si="19"/>
        <v>32173</v>
      </c>
      <c r="AG31" s="1125">
        <f t="shared" si="19"/>
        <v>0</v>
      </c>
      <c r="AH31" s="1125">
        <f t="shared" si="19"/>
        <v>2977</v>
      </c>
      <c r="AI31" s="1125">
        <f t="shared" si="19"/>
        <v>0</v>
      </c>
      <c r="AJ31" s="1118">
        <f t="shared" si="19"/>
        <v>0</v>
      </c>
      <c r="AK31" s="1125">
        <f t="shared" si="19"/>
        <v>0</v>
      </c>
      <c r="AL31" s="1125">
        <f t="shared" si="19"/>
        <v>0</v>
      </c>
      <c r="AM31" s="1125">
        <f t="shared" si="19"/>
        <v>140467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81058</v>
      </c>
      <c r="BD31" s="1117">
        <f t="shared" si="19"/>
        <v>181754</v>
      </c>
      <c r="BE31" s="1117">
        <f t="shared" si="19"/>
        <v>0</v>
      </c>
      <c r="BF31" s="1127">
        <f t="shared" si="19"/>
        <v>0</v>
      </c>
      <c r="BG31" s="1223">
        <f>IF(ISNUMBER(Datos!K31/Datos!J31),Datos!K31/Datos!J31," - ")</f>
        <v>0.95587172170131807</v>
      </c>
      <c r="BH31" s="1223">
        <f>IF(ISNUMBER(((Datos!L31/Datos!K31)*11)/factor_trimestre),((Datos!L31/Datos!K31)*11)/factor_trimestre," - ")</f>
        <v>7.4139824231688909</v>
      </c>
      <c r="BI31" s="1103">
        <f>IF(ISNUMBER(Datos!J31/Datos!I31),Datos!J31/Datos!I31," - ")</f>
        <v>1.7212102500771844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-5.1892208172154861</v>
      </c>
      <c r="BM31" s="1188">
        <f>IF(ISNUMBER((Datos!P31-Datos!Q31+R31)/(Datos!R31-Datos!P31+Datos!Q31-R31)),(Datos!P31-Datos!Q31+R31)/(Datos!R31-Datos!P31+Datos!Q31-R31)," - ")</f>
        <v>7.6945546776480307E-4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8207.4285714285706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35.291600644110659</v>
      </c>
      <c r="F33" s="673">
        <f>IF(ISNUMBER(STDEV(F8:F30)),STDEV(F8:F30),"-")</f>
        <v>15328.556887935234</v>
      </c>
      <c r="G33" s="674">
        <f>IF(ISNUMBER(STDEV(G8:G30)),STDEV(G8:G30),"-")</f>
        <v>12681.048048921179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70424.393552504916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22987.259245310459</v>
      </c>
      <c r="BD33" s="673"/>
      <c r="BE33" s="673">
        <f>IF(ISNUMBER(STDEV(BE8:BE30)),STDEV(BE8:BE30),"-")</f>
        <v>0</v>
      </c>
      <c r="BF33" s="678">
        <f>IF(ISNUMBER(STDEV(BF8:BF30)),STDEV(BF8:BF30),"-")</f>
        <v>0</v>
      </c>
      <c r="BG33" s="1052">
        <f>IF(ISNUMBER(STDEV(BG8:BG30)),STDEV(BG8:BG30),"-")</f>
        <v>4.2376089282935875E-2</v>
      </c>
      <c r="BH33" s="1058">
        <f>IF(ISNUMBER(STDEV(BH8:BH30)),STDEV(BH8:BH30),"-")</f>
        <v>4.2900060690991557</v>
      </c>
      <c r="BI33" s="273">
        <f>IF(ISNUMBER(STDEV(BI8:BI30)),STDEV(BI8:BI30),"-")</f>
        <v>0.10547401920746935</v>
      </c>
      <c r="BJ33" s="244" t="str">
        <f>IF(ISNUMBER(BL33/BM33),BL33/BM33," - ")</f>
        <v xml:space="preserve"> - </v>
      </c>
      <c r="BK33" s="709"/>
      <c r="BL33" s="681">
        <f>IF(ISNUMBER(STDEV(BL8:BL30)),STDEV(BL8:BL30),"-")</f>
        <v>2.0514192984715631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Nx0Dtbj90dFu4sFOIPAQ2G6SH6iP6cNSOjMNiPnzYlWB7NC4OB8/gXVN0b/4O1UQ8l86T9JWu08+UJTmOU6tEA==" saltValue="edtxuJwcKQIibOXBPmSH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MADRID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91</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33412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32406</v>
      </c>
      <c r="AA9" s="551" t="str">
        <f>IF(ISNUMBER(IF(J_V="SI",Datos!L9,Datos!L9+Datos!AB9)-IF(Monitorios="SI",Datos!CD9,0)),
                          IF(J_V="SI",Datos!L9,Datos!L9+Datos!AB9)-IF(Monitorios="SI",Datos!CD9,0),
                          " - ")</f>
        <v xml:space="preserve"> - </v>
      </c>
      <c r="AB9" s="549"/>
      <c r="AC9" s="549"/>
      <c r="AD9" s="563"/>
      <c r="AE9" s="563">
        <f>IF(ISNUMBER(Datos!R9),Datos!R9," - ")</f>
        <v>131044</v>
      </c>
      <c r="AF9" s="693" t="str">
        <f>IF(ISNUMBER(Datos!BV9),Datos!BV9," - ")</f>
        <v xml:space="preserve"> - </v>
      </c>
      <c r="AG9" s="552" t="str">
        <f>IF(ISNUMBER(Datos!DV9),Datos!DV9," - ")</f>
        <v xml:space="preserve"> - </v>
      </c>
      <c r="AH9" s="553"/>
      <c r="AI9" s="554"/>
      <c r="AJ9" s="552">
        <f>IF(ISNUMBER(Datos!M9),Datos!M9," - ")</f>
        <v>51754</v>
      </c>
      <c r="AK9" s="693">
        <f>IF(ISNUMBER(Datos!N9),Datos!N9," - ")</f>
        <v>88763</v>
      </c>
      <c r="AL9" s="693" t="str">
        <f>IF(ISNUMBER(Datos!BW9),Datos!BW9," - ")</f>
        <v xml:space="preserve"> - </v>
      </c>
      <c r="AM9" s="762" t="str">
        <f>IF(ISNUMBER(Datos!BX9),Datos!BX9," - ")</f>
        <v xml:space="preserve"> - </v>
      </c>
      <c r="AN9" s="763"/>
      <c r="AO9" s="764">
        <f>IF(ISNUMBER(((NºAsuntos!I9/NºAsuntos!G9)*11)/factor_trimestre),((NºAsuntos!I9/NºAsuntos!G9)*11)/factor_trimestre," - ")</f>
        <v>11.238985516029333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7.7362001876374598E-3</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11</v>
      </c>
      <c r="B10" s="746" t="s">
        <v>321</v>
      </c>
      <c r="C10" s="747" t="str">
        <f>Datos!A10</f>
        <v>Jdos. Violencia contra la mujer</v>
      </c>
      <c r="D10" s="601"/>
      <c r="E10" s="1558">
        <f>IF(ISNUMBER(Datos!AQ10),Datos!AQ10," - ")</f>
        <v>11</v>
      </c>
      <c r="F10" s="552">
        <f>IF(ISNUMBER(Datos!L10+Datos!K10-Datos!J10),Datos!L10+Datos!K10-Datos!J10," - ")</f>
        <v>724</v>
      </c>
      <c r="G10" s="552">
        <f>IF(ISNUMBER(Datos!I10),Datos!I10," - ")</f>
        <v>708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460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1706</v>
      </c>
      <c r="Z10" s="805">
        <f>IF(ISNUMBER(Datos!Q10),Datos!Q10," - ")</f>
        <v>413</v>
      </c>
      <c r="AA10" s="551">
        <f>IF(ISNUMBER(Datos!L10),Datos!L10,"-")</f>
        <v>794</v>
      </c>
      <c r="AB10" s="549"/>
      <c r="AC10" s="549"/>
      <c r="AD10" s="563"/>
      <c r="AE10" s="563">
        <f>IF(ISNUMBER(Datos!R10),Datos!R10," - ")</f>
        <v>921</v>
      </c>
      <c r="AF10" s="693" t="str">
        <f>IF(ISNUMBER(Datos!BV10),Datos!BV10," - ")</f>
        <v xml:space="preserve"> - </v>
      </c>
      <c r="AG10" s="552" t="str">
        <f>IF(ISNUMBER(Datos!DV10),Datos!DV10," - ")</f>
        <v xml:space="preserve"> - </v>
      </c>
      <c r="AH10" s="553"/>
      <c r="AI10" s="554"/>
      <c r="AJ10" s="552">
        <f>IF(ISNUMBER(Datos!M10),Datos!M10," - ")</f>
        <v>567</v>
      </c>
      <c r="AK10" s="693">
        <f>IF(ISNUMBER(Datos!N10),Datos!N10," - ")</f>
        <v>783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5.1195779601406803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5.3775743707093822E-2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14</v>
      </c>
      <c r="B11" s="746" t="s">
        <v>321</v>
      </c>
      <c r="C11" s="747" t="str">
        <f>Datos!A11</f>
        <v xml:space="preserve">Jdos. Familia                                   </v>
      </c>
      <c r="D11" s="601"/>
      <c r="E11" s="1558">
        <f>IF(ISNUMBER(Datos!AQ11),Datos!AQ11," - ")</f>
        <v>14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2232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2794</v>
      </c>
      <c r="AA11" s="551" t="str">
        <f>IF(ISNUMBER(IF(J_V="SI",Datos!L11,Datos!L11+Datos!AB11)-IF(Monitorios="SI",Datos!CD11,0)),
                          IF(J_V="SI",Datos!L11,Datos!L11+Datos!AB11)-IF(Monitorios="SI",Datos!CD11,0),
                          " - ")</f>
        <v xml:space="preserve"> - </v>
      </c>
      <c r="AB11" s="549"/>
      <c r="AC11" s="549"/>
      <c r="AD11" s="563"/>
      <c r="AE11" s="563">
        <f>IF(ISNUMBER(Datos!R11),Datos!R11," - ")</f>
        <v>4611</v>
      </c>
      <c r="AF11" s="693" t="str">
        <f>IF(ISNUMBER(Datos!BV11),Datos!BV11," - ")</f>
        <v xml:space="preserve"> - </v>
      </c>
      <c r="AG11" s="552" t="str">
        <f>IF(ISNUMBER(Datos!DV11),Datos!DV11," - ")</f>
        <v xml:space="preserve"> - </v>
      </c>
      <c r="AH11" s="553"/>
      <c r="AI11" s="554"/>
      <c r="AJ11" s="552">
        <f>IF(ISNUMBER(Datos!M11),Datos!M11," - ")</f>
        <v>6322</v>
      </c>
      <c r="AK11" s="693">
        <f>IF(ISNUMBER(Datos!N11),Datos!N11," - ")</f>
        <v>5259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3.9402985074626864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-0.10864102068432244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116</v>
      </c>
      <c r="F14" s="1197">
        <f>SUBTOTAL(9,F8:F13)</f>
        <v>724</v>
      </c>
      <c r="G14" s="1197">
        <f>SUBTOTAL(9,G8:G13)</f>
        <v>708</v>
      </c>
      <c r="H14" s="1211"/>
      <c r="I14" s="1197">
        <f t="shared" ref="I14:N14" si="1">SUBTOTAL(9,I8:I13)</f>
        <v>0</v>
      </c>
      <c r="J14" s="1164">
        <f t="shared" si="1"/>
        <v>0</v>
      </c>
      <c r="K14" s="1211">
        <f t="shared" si="1"/>
        <v>0</v>
      </c>
      <c r="L14" s="1211">
        <f t="shared" si="1"/>
        <v>0</v>
      </c>
      <c r="M14" s="1211">
        <f t="shared" si="1"/>
        <v>0</v>
      </c>
      <c r="N14" s="1211">
        <f t="shared" si="1"/>
        <v>36104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1706</v>
      </c>
      <c r="Z14" s="1210">
        <f t="shared" si="3"/>
        <v>35613</v>
      </c>
      <c r="AA14" s="1199">
        <f t="shared" si="3"/>
        <v>794</v>
      </c>
      <c r="AB14" s="1199">
        <f t="shared" si="3"/>
        <v>0</v>
      </c>
      <c r="AC14" s="1199">
        <f t="shared" si="3"/>
        <v>0</v>
      </c>
      <c r="AD14" s="1199">
        <f t="shared" si="3"/>
        <v>0</v>
      </c>
      <c r="AE14" s="1199">
        <f t="shared" si="3"/>
        <v>136576</v>
      </c>
      <c r="AF14" s="1211">
        <f t="shared" si="3"/>
        <v>0</v>
      </c>
      <c r="AG14" s="1211">
        <f t="shared" si="3"/>
        <v>0</v>
      </c>
      <c r="AH14" s="1211">
        <f t="shared" si="3"/>
        <v>0</v>
      </c>
      <c r="AI14" s="1211">
        <f t="shared" si="3"/>
        <v>0</v>
      </c>
      <c r="AJ14" s="1211">
        <f t="shared" si="3"/>
        <v>58643</v>
      </c>
      <c r="AK14" s="1211">
        <f t="shared" si="3"/>
        <v>94805</v>
      </c>
      <c r="AL14" s="1211">
        <f t="shared" si="3"/>
        <v>0</v>
      </c>
      <c r="AM14" s="1211">
        <f t="shared" si="3"/>
        <v>0</v>
      </c>
      <c r="AN14" s="1211">
        <f t="shared" si="3"/>
        <v>0</v>
      </c>
      <c r="AO14" s="1203">
        <f>IF(ISNUMBER(((NºAsuntos!I14/NºAsuntos!G14)*11)/factor_trimestre),((NºAsuntos!I14/NºAsuntos!G14)*11)/factor_trimestre," - ")</f>
        <v>10.665545203187806</v>
      </c>
      <c r="AP14" s="1213" t="str">
        <f>IF(ISNUMBER(Datos!CI14/Datos!CJ14),Datos!CI14/Datos!CJ14," - ")</f>
        <v xml:space="preserve"> - </v>
      </c>
      <c r="AQ14" s="1236">
        <f t="shared" ref="AQ14:AV14" si="4">SUBTOTAL(9,AQ9:AQ13)</f>
        <v>0</v>
      </c>
      <c r="AR14" s="1236">
        <f t="shared" si="4"/>
        <v>-4.7129076789591155E-2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54</v>
      </c>
      <c r="B16" s="746" t="s">
        <v>511</v>
      </c>
      <c r="C16" s="765" t="str">
        <f>Datos!A16</f>
        <v xml:space="preserve">Jdos. Instrucción                               </v>
      </c>
      <c r="D16" s="593"/>
      <c r="E16" s="1558">
        <f>IF(ISNUMBER(Datos!AQ16),Datos!AQ16," - ")</f>
        <v>54</v>
      </c>
      <c r="F16" s="543">
        <f>IF(ISNUMBER(AA16+Y16-Datos!J16-K16),AA16+Y16-Datos!J16-K16," - ")</f>
        <v>30039</v>
      </c>
      <c r="G16" s="552">
        <f>IF(ISNUMBER(IF(D_I="SI",Datos!I16,Datos!I16+Datos!AC16)),IF(D_I="SI",Datos!I16,Datos!I16+Datos!AC16)," - ")</f>
        <v>25364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9189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137706</v>
      </c>
      <c r="Z16" s="805">
        <f>IF(ISNUMBER(Datos!Q16),Datos!Q16," - ")</f>
        <v>9557</v>
      </c>
      <c r="AA16" s="551">
        <f>IF(ISNUMBER(IF(D_I="SI",Datos!L16,Datos!L16+Datos!AF16)),IF(D_I="SI",Datos!L16,Datos!L16+Datos!AF16)," - ")</f>
        <v>28490</v>
      </c>
      <c r="AB16" s="549"/>
      <c r="AC16" s="549"/>
      <c r="AD16" s="563"/>
      <c r="AE16" s="563">
        <f>IF(ISNUMBER(Datos!R16),Datos!R16," - ")</f>
        <v>3857</v>
      </c>
      <c r="AF16" s="693" t="str">
        <f>IF(ISNUMBER(Datos!BV16),Datos!BV16," - ")</f>
        <v xml:space="preserve"> - </v>
      </c>
      <c r="AG16" s="552"/>
      <c r="AH16" s="553"/>
      <c r="AI16" s="554"/>
      <c r="AJ16" s="552">
        <f>IF(ISNUMBER(Datos!M16),Datos!M16," - ")</f>
        <v>22072</v>
      </c>
      <c r="AK16" s="693">
        <f>IF(ISNUMBER(Datos!N16),Datos!N16," - ")</f>
        <v>73938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2.2757904521226378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11</v>
      </c>
      <c r="B18" s="746" t="s">
        <v>511</v>
      </c>
      <c r="C18" s="747" t="str">
        <f>Datos!A18</f>
        <v>Jdos. Violencia contra la mujer</v>
      </c>
      <c r="D18" s="601"/>
      <c r="E18" s="1558">
        <f>IF(ISNUMBER(Datos!AQ18),Datos!AQ18," - ")</f>
        <v>11</v>
      </c>
      <c r="F18" s="552" t="str">
        <f>IF(ISNUMBER(AA18+Y18-I18-K18),AA18+Y18-I18-K18," - ")</f>
        <v xml:space="preserve"> - </v>
      </c>
      <c r="G18" s="843">
        <f>IF(ISNUMBER(IF(D_I="SI",Datos!I18,Datos!I18+Datos!AC18)),IF(D_I="SI",Datos!I18,Datos!I18+Datos!AC18)," - ")</f>
        <v>2654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20224</v>
      </c>
      <c r="Z18" s="805">
        <f>IF(ISNUMBER(Datos!Q18),Datos!Q18," - ")</f>
        <v>67</v>
      </c>
      <c r="AA18" s="551">
        <f>IF(ISNUMBER(Datos!L18),Datos!L18,"-")</f>
        <v>2889</v>
      </c>
      <c r="AB18" s="549"/>
      <c r="AC18" s="549"/>
      <c r="AD18" s="563"/>
      <c r="AE18" s="563">
        <f>IF(ISNUMBER(Datos!R18),Datos!R18," - ")</f>
        <v>34</v>
      </c>
      <c r="AF18" s="693" t="str">
        <f>IF(ISNUMBER(Datos!BV18),Datos!BV18," - ")</f>
        <v xml:space="preserve"> - </v>
      </c>
      <c r="AG18" s="552" t="str">
        <f>IF(ISNUMBER(Datos!DV18),Datos!DV18," - ")</f>
        <v xml:space="preserve"> - </v>
      </c>
      <c r="AH18" s="553"/>
      <c r="AI18" s="554"/>
      <c r="AJ18" s="552">
        <f>IF(ISNUMBER(Datos!M18),Datos!M18," - ")</f>
        <v>343</v>
      </c>
      <c r="AK18" s="693">
        <f>IF(ISNUMBER(Datos!N18),Datos!N18," - ")</f>
        <v>13011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1.5713508702531647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65</v>
      </c>
      <c r="F23" s="1197">
        <f>SUBTOTAL(9,F16:F22)</f>
        <v>30039</v>
      </c>
      <c r="G23" s="1197">
        <f>SUBTOTAL(9,G16:G22)</f>
        <v>28018</v>
      </c>
      <c r="H23" s="1240">
        <f>SUBTOTAL(9,H16:H22)</f>
        <v>0</v>
      </c>
      <c r="I23" s="1217">
        <f>SUBTOTAL(9,I16:I22)</f>
        <v>0</v>
      </c>
      <c r="J23" s="1164">
        <f>SUBTOTAL(9,J15:J22)</f>
        <v>0</v>
      </c>
      <c r="K23" s="1240">
        <f t="shared" ref="K23:S23" si="5">SUBTOTAL(9,K16:K22)</f>
        <v>0</v>
      </c>
      <c r="L23" s="1240">
        <f t="shared" si="5"/>
        <v>0</v>
      </c>
      <c r="M23" s="1240">
        <f t="shared" si="5"/>
        <v>0</v>
      </c>
      <c r="N23" s="1240">
        <f t="shared" si="5"/>
        <v>9241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157930</v>
      </c>
      <c r="Z23" s="1240">
        <f t="shared" si="6"/>
        <v>9624</v>
      </c>
      <c r="AA23" s="1240">
        <f t="shared" si="6"/>
        <v>31379</v>
      </c>
      <c r="AB23" s="1240">
        <f t="shared" si="6"/>
        <v>0</v>
      </c>
      <c r="AC23" s="1240">
        <f t="shared" si="6"/>
        <v>0</v>
      </c>
      <c r="AD23" s="1240">
        <f t="shared" si="6"/>
        <v>0</v>
      </c>
      <c r="AE23" s="1240">
        <f t="shared" si="6"/>
        <v>3891</v>
      </c>
      <c r="AF23" s="1240">
        <f t="shared" si="6"/>
        <v>0</v>
      </c>
      <c r="AG23" s="1240">
        <f t="shared" si="6"/>
        <v>0</v>
      </c>
      <c r="AH23" s="1240">
        <f t="shared" si="6"/>
        <v>0</v>
      </c>
      <c r="AI23" s="1240">
        <f t="shared" si="6"/>
        <v>0</v>
      </c>
      <c r="AJ23" s="1240">
        <f t="shared" si="6"/>
        <v>22415</v>
      </c>
      <c r="AK23" s="1240">
        <f t="shared" si="6"/>
        <v>86949</v>
      </c>
      <c r="AL23" s="1240">
        <f t="shared" si="6"/>
        <v>0</v>
      </c>
      <c r="AM23" s="1240">
        <f t="shared" si="6"/>
        <v>0</v>
      </c>
      <c r="AN23" s="1240">
        <f t="shared" si="6"/>
        <v>0</v>
      </c>
      <c r="AO23" s="1242">
        <f>IF(ISNUMBER(((NºAsuntos!I23/NºAsuntos!G23)*11)/factor_trimestre),((NºAsuntos!I23/NºAsuntos!G23)*11)/factor_trimestre," - ")</f>
        <v>2.1855822199708732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181</v>
      </c>
      <c r="F31" s="1117">
        <f t="shared" si="12"/>
        <v>30763</v>
      </c>
      <c r="G31" s="1117">
        <f t="shared" si="12"/>
        <v>28726</v>
      </c>
      <c r="H31" s="1118">
        <f t="shared" si="12"/>
        <v>0</v>
      </c>
      <c r="I31" s="1117">
        <f t="shared" si="12"/>
        <v>0</v>
      </c>
      <c r="J31" s="1119">
        <f t="shared" si="12"/>
        <v>0</v>
      </c>
      <c r="K31" s="1117">
        <f t="shared" si="12"/>
        <v>0</v>
      </c>
      <c r="L31" s="1120">
        <f t="shared" si="12"/>
        <v>0</v>
      </c>
      <c r="M31" s="1117">
        <f t="shared" si="12"/>
        <v>0</v>
      </c>
      <c r="N31" s="1118">
        <f t="shared" si="12"/>
        <v>45345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159636</v>
      </c>
      <c r="Z31" s="1124">
        <f t="shared" si="13"/>
        <v>45237</v>
      </c>
      <c r="AA31" s="1125">
        <f t="shared" si="13"/>
        <v>32173</v>
      </c>
      <c r="AB31" s="1125">
        <f t="shared" si="13"/>
        <v>0</v>
      </c>
      <c r="AC31" s="1125">
        <f t="shared" si="13"/>
        <v>0</v>
      </c>
      <c r="AD31" s="1126">
        <f t="shared" si="13"/>
        <v>0</v>
      </c>
      <c r="AE31" s="1126">
        <f t="shared" si="13"/>
        <v>140467</v>
      </c>
      <c r="AF31" s="1127">
        <f t="shared" si="13"/>
        <v>0</v>
      </c>
      <c r="AG31" s="1128">
        <f t="shared" si="13"/>
        <v>0</v>
      </c>
      <c r="AH31" s="1129">
        <f t="shared" si="13"/>
        <v>0</v>
      </c>
      <c r="AI31" s="1127">
        <f t="shared" si="13"/>
        <v>0</v>
      </c>
      <c r="AJ31" s="1117">
        <f t="shared" si="13"/>
        <v>81058</v>
      </c>
      <c r="AK31" s="1117">
        <f t="shared" si="13"/>
        <v>181754</v>
      </c>
      <c r="AL31" s="1117">
        <f t="shared" si="13"/>
        <v>0</v>
      </c>
      <c r="AM31" s="1130">
        <f t="shared" si="13"/>
        <v>0</v>
      </c>
      <c r="AN31" s="1120">
        <f>IF(ISNUMBER(Datos!K31/Datos!J31),Datos!K31/Datos!J31," - ")</f>
        <v>0.95587172170131807</v>
      </c>
      <c r="AO31" s="1120">
        <f>IF(ISNUMBER(FIND("06",Criterios!A8,1)),(IF(ISNUMBER(((Datos!R31/Datos!Q31)*11)/factor_trimestre),((Datos!R31/Datos!Q31)*11)/factor_trimestre," - ")),(IF(ISNUMBER(((Datos!L31/Datos!K31)*11)/factor_trimestre),((Datos!L31/Datos!K31)*11)/factor_trimestre," - ")))</f>
        <v>7.4139824231688909</v>
      </c>
      <c r="AP31" s="1131" t="str">
        <f>IF(ISNUMBER(Datos!CI31/Datos!CJ31),Datos!CI31/Datos!CJ31," - ")</f>
        <v xml:space="preserve"> - </v>
      </c>
      <c r="AQ31" s="1131">
        <f>IF(OR(ISNUMBER(FIND("01",Criterios!A8,1)),ISNUMBER(FIND("02",Criterios!A8,1)),ISNUMBER(FIND("03",Criterios!A8,1)),ISNUMBER(FIND("04",Criterios!A8,1))),(J31-Y31+K31)/(F31-K31),(I31-Y31+K31)/(F31-K31))</f>
        <v>-5.1892208172154861</v>
      </c>
      <c r="AR31" s="1131">
        <f>IF(ISNUMBER((Datos!P31-Datos!Q31+O31)/(Datos!R31-Datos!P31+Datos!Q31-O31)),(Datos!P31-Datos!Q31+O31)/(Datos!R31-Datos!P31+Datos!Q31-O31)," - ")</f>
        <v>7.6945546776480307E-4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8207.4285714285706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15328.556887935234</v>
      </c>
      <c r="G33" s="674">
        <f>IF(ISNUMBER(STDEV(G8:G30)),STDEV(G8:G30),"-")</f>
        <v>12681.048048921179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22987.259245310459</v>
      </c>
      <c r="AK33" s="276"/>
      <c r="AL33" s="276">
        <f>IF(ISNUMBER(STDEV(AL8:AL30)),STDEV(AL8:AL30),"-")</f>
        <v>0</v>
      </c>
      <c r="AM33" s="278">
        <f>IF(ISNUMBER(STDEV(AM8:AM30)),STDEV(AM8:AM30),"-")</f>
        <v>0</v>
      </c>
      <c r="AN33" s="660">
        <f>IF(ISNUMBER(STDEV(AN8:AN30)),STDEV(AN8:AN30),"-")</f>
        <v>0</v>
      </c>
      <c r="AO33" s="661">
        <f>IF(ISNUMBER(STDEV(AO8:AO30)),STDEV(AO8:AO30),"-")</f>
        <v>4.0556281603970161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vLcpwVWIyhbKfHKSR1SzGE6ti3zjjr4VVVLXAYxw/IGp8+LkfZ2/r8KPR7pqgV5FZunfPw9FF/tyNS29VOiuHA==" saltValue="1dknT55hKOw2DJL8upG0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joZFx2eVz8iidvtlNvqg9bkojr3Go1xfLsaFUezWKdJ7Q9M7mD46aPY98CcfHp7vF7We+NYXFD8rNnhWOAyg==" saltValue="0PETsq6QgI75Z3SGVW2O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rOPnUQL1/8Wnd87sP4OvQYciulN5yZmS/H2TvGckT2UU7mCjR99P8ItWY0T2U8ZkgoBCulH4dBArdpMB7QEg==" saltValue="BvhaP9LsOcLmG5LtuHWp0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MADRID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0.272510978414926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0.19269436078497507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wN4t34wHRv9jKbE+5DDByPVMWhFvYEUSV4xaPDdf/tGMtBhkXe7cq32tz2AMUj1fBepR83htCeaJgo/mYo10JA==" saltValue="eWucKWvMuqWLCjKndDVI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2pKaY5rSnfyNP7CSfHJyvZKbdblVpNAIvMp0AWVTv+ap5l5dQaTdye5gFCTfwfj/xene+lUPaGdR2lcjovogg==" saltValue="Y7vn5nSPk2DBDmESckRK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MADRID</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91</v>
      </c>
      <c r="C9" s="451">
        <f>IF(ISNUMBER(IF(J_V="SI",Datos!I9,Datos!I9+Datos!Y9)),IF(J_V="SI",Datos!I9,Datos!I9+Datos!Y9)," - ")</f>
        <v>182665</v>
      </c>
      <c r="D9" s="452">
        <f>IF(ISNUMBER(C9/Datos!BH9),C9/Datos!BH9," - ")</f>
        <v>2007.3076923076924</v>
      </c>
      <c r="E9" s="451">
        <f>IF(ISNUMBER(IF(J_V="SI",Datos!J9,Datos!J9+Datos!Z9)),IF(J_V="SI",Datos!J9,Datos!J9+Datos!Z9)," - ")</f>
        <v>215855</v>
      </c>
      <c r="F9" s="452">
        <f>IF(ISNUMBER(E9/B9),E9/B9," - ")</f>
        <v>2372.032967032967</v>
      </c>
      <c r="G9" s="451">
        <f>IF(ISNUMBER(IF(J_V="SI",Datos!K9,Datos!K9+Datos!AA9)),IF(J_V="SI",Datos!K9,Datos!K9+Datos!AA9)," - ")</f>
        <v>198012</v>
      </c>
      <c r="H9" s="452">
        <f>IF(ISNUMBER(G9/B9),G9/B9," - ")</f>
        <v>2175.9560439560441</v>
      </c>
      <c r="I9" s="451">
        <f>IF(ISNUMBER(IF(J_V="SI",Datos!L9,Datos!L9+Datos!AB9)),IF(J_V="SI",Datos!L9,Datos!L9+Datos!AB9)," - ")</f>
        <v>202314</v>
      </c>
      <c r="J9" s="452">
        <f>IF(ISNUMBER(I9/B9),I9/B9," - ")</f>
        <v>2223.2307692307691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11</v>
      </c>
      <c r="C10" s="451">
        <f>IF(ISNUMBER(Datos!I10),Datos!I10," - ")</f>
        <v>708</v>
      </c>
      <c r="D10" s="452">
        <f>IF(ISNUMBER(C10/Datos!BH10),C10/Datos!BH10," - ")</f>
        <v>64.36363636363636</v>
      </c>
      <c r="E10" s="451">
        <f>IF(ISNUMBER(Datos!J10),Datos!J10," - ")</f>
        <v>1776</v>
      </c>
      <c r="F10" s="452">
        <f>IF(ISNUMBER(E10/B10),E10/B10," - ")</f>
        <v>161.45454545454547</v>
      </c>
      <c r="G10" s="451">
        <f>IF(ISNUMBER(Datos!K10),Datos!K10," - ")</f>
        <v>1706</v>
      </c>
      <c r="H10" s="452">
        <f>IF(ISNUMBER(G10/B10),G10/B10," - ")</f>
        <v>155.09090909090909</v>
      </c>
      <c r="I10" s="451">
        <f>IF(ISNUMBER(Datos!L10),Datos!L10," - ")</f>
        <v>794</v>
      </c>
      <c r="J10" s="452">
        <f>IF(ISNUMBER(I10/B10),I10/B10," - ")</f>
        <v>72.181818181818187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14</v>
      </c>
      <c r="C11" s="451">
        <f>IF(ISNUMBER(IF(J_V="SI",Datos!I11,Datos!I11+Datos!Y11)),IF(J_V="SI",Datos!I11,Datos!I11+Datos!Y11)," - ")</f>
        <v>5308</v>
      </c>
      <c r="D11" s="452">
        <f>IF(ISNUMBER(C11/Datos!BH11),C11/Datos!BH11," - ")</f>
        <v>379.14285714285717</v>
      </c>
      <c r="E11" s="451">
        <f>IF(ISNUMBER(IF(J_V="SI",Datos!J11,Datos!J11+Datos!Z11)),IF(J_V="SI",Datos!J11,Datos!J11+Datos!Z11)," - ")</f>
        <v>15477</v>
      </c>
      <c r="F11" s="452">
        <f>IF(ISNUMBER(E11/B11),E11/B11," - ")</f>
        <v>1105.5</v>
      </c>
      <c r="G11" s="451">
        <f>IF(ISNUMBER(IF(J_V="SI",Datos!K11,Datos!K11+Datos!AA11)),IF(J_V="SI",Datos!K11,Datos!K11+Datos!AA11)," - ")</f>
        <v>15477</v>
      </c>
      <c r="H11" s="452">
        <f>IF(ISNUMBER(G11/B11),G11/B11," - ")</f>
        <v>1105.5</v>
      </c>
      <c r="I11" s="451">
        <f>IF(ISNUMBER(IF(J_V="SI",Datos!L11,Datos!L11+Datos!AB11)),IF(J_V="SI",Datos!L11,Datos!L11+Datos!AB11)," - ")</f>
        <v>5544</v>
      </c>
      <c r="J11" s="452">
        <f>IF(ISNUMBER(I11/B11),I11/B11," - ")</f>
        <v>396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116</v>
      </c>
      <c r="C14" s="1146">
        <f>SUBTOTAL(9,C8:C13)</f>
        <v>188681</v>
      </c>
      <c r="D14" s="1147" t="str">
        <f>IF(ISNUMBER(C14/Datos!BI14),C14/Datos!BI14," - ")</f>
        <v xml:space="preserve"> - </v>
      </c>
      <c r="E14" s="1146">
        <f>SUBTOTAL(9,E8:E13)</f>
        <v>233108</v>
      </c>
      <c r="F14" s="1147">
        <f>IF(ISNUMBER(E14/B14),E14/B14," - ")</f>
        <v>2009.5517241379309</v>
      </c>
      <c r="G14" s="1146">
        <f>SUBTOTAL(9,G8:G13)</f>
        <v>215195</v>
      </c>
      <c r="H14" s="1147">
        <f>IF(ISNUMBER(G14/B14),G14/B14," - ")</f>
        <v>1855.1293103448277</v>
      </c>
      <c r="I14" s="1146">
        <f>SUBTOTAL(9,I8:I13)</f>
        <v>208652</v>
      </c>
      <c r="J14" s="1147">
        <f>IF(ISNUMBER(I14/B14),I14/B14," - ")</f>
        <v>1798.7241379310344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54</v>
      </c>
      <c r="C16" s="451">
        <f>IF(ISNUMBER(IF(D_I="SI",Datos!I16,Datos!I16+Datos!AC16)),IF(D_I="SI",Datos!I16,Datos!I16+Datos!AC16)," - ")</f>
        <v>25364</v>
      </c>
      <c r="D16" s="452">
        <f>IF(ISNUMBER(C16/Datos!BH16),C16/Datos!BH16," - ")</f>
        <v>469.7037037037037</v>
      </c>
      <c r="E16" s="451">
        <f>IF(ISNUMBER(IF(D_I="SI",Datos!J16,Datos!J16+Datos!AD16)),IF(D_I="SI",Datos!J16,Datos!J16+Datos!AD16)," - ")</f>
        <v>136157</v>
      </c>
      <c r="F16" s="452">
        <f>IF(ISNUMBER(E16/B16),E16/B16," - ")</f>
        <v>2521.4259259259261</v>
      </c>
      <c r="G16" s="451">
        <f>IF(ISNUMBER(IF(D_I="SI",Datos!K16,Datos!K16+Datos!AE16)),IF(D_I="SI",Datos!K16,Datos!K16+Datos!AE16)," - ")</f>
        <v>137706</v>
      </c>
      <c r="H16" s="452">
        <f>IF(ISNUMBER(G16/B16),G16/B16," - ")</f>
        <v>2550.1111111111113</v>
      </c>
      <c r="I16" s="451">
        <f>IF(ISNUMBER(IF(D_I="SI",Datos!L16,Datos!L16+Datos!AF16)),IF(D_I="SI",Datos!L16,Datos!L16+Datos!AF16)," - ")</f>
        <v>28490</v>
      </c>
      <c r="J16" s="452">
        <f>IF(ISNUMBER(I16/B16),I16/B16," - ")</f>
        <v>527.59259259259261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11</v>
      </c>
      <c r="C18" s="451">
        <f>IF(ISNUMBER(IF(D_I="SI",Datos!I18,Datos!I18+Datos!AC18)),IF(D_I="SI",Datos!I18,Datos!I18+Datos!AC18)," - ")</f>
        <v>2654</v>
      </c>
      <c r="D18" s="452">
        <f>IF(ISNUMBER(C18/Datos!BH18),C18/Datos!BH18," - ")</f>
        <v>241.27272727272728</v>
      </c>
      <c r="E18" s="451">
        <f>IF(ISNUMBER(IF(D_I="SI",Datos!J18,Datos!J18+Datos!AD18)),IF(D_I="SI",Datos!J18,Datos!J18+Datos!AD18)," - ")</f>
        <v>20231</v>
      </c>
      <c r="F18" s="452">
        <f>IF(ISNUMBER(E18/B18),E18/B18," - ")</f>
        <v>1839.1818181818182</v>
      </c>
      <c r="G18" s="451">
        <f>IF(ISNUMBER(IF(D_I="SI",Datos!K18,Datos!K18+Datos!AE18)),IF(D_I="SI",Datos!K18,Datos!K18+Datos!AE18)," - ")</f>
        <v>20224</v>
      </c>
      <c r="H18" s="452">
        <f>IF(ISNUMBER(G18/B18),G18/B18," - ")</f>
        <v>1838.5454545454545</v>
      </c>
      <c r="I18" s="451">
        <f>IF(ISNUMBER(IF(D_I="SI",Datos!L18,Datos!L18+Datos!AF18)),IF(D_I="SI",Datos!L18,Datos!L18+Datos!AF18)," - ")</f>
        <v>2889</v>
      </c>
      <c r="J18" s="452">
        <f>IF(ISNUMBER(I18/B18),I18/B18," - ")</f>
        <v>262.63636363636363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65</v>
      </c>
      <c r="C23" s="1146">
        <f>SUBTOTAL(9,C15:C22)</f>
        <v>28018</v>
      </c>
      <c r="D23" s="1147" t="str">
        <f>IF(ISNUMBER(C23/Datos!BI23),C23/Datos!BI23," - ")</f>
        <v xml:space="preserve"> - </v>
      </c>
      <c r="E23" s="1146">
        <f>SUBTOTAL(9,E15:E22)</f>
        <v>156388</v>
      </c>
      <c r="F23" s="1147">
        <f>IF(ISNUMBER(E23/B23),E23/B23," - ")</f>
        <v>2405.9692307692308</v>
      </c>
      <c r="G23" s="1146">
        <f>SUBTOTAL(9,G15:G22)</f>
        <v>157930</v>
      </c>
      <c r="H23" s="1147">
        <f>IF(ISNUMBER(G23/B23),G23/B23," - ")</f>
        <v>2429.6923076923076</v>
      </c>
      <c r="I23" s="1146">
        <f>SUBTOTAL(9,I15:I22)</f>
        <v>31379</v>
      </c>
      <c r="J23" s="1147">
        <f>IF(ISNUMBER(I23/B23),I23/B23," - ")</f>
        <v>482.75384615384615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170</v>
      </c>
      <c r="C31" s="1084">
        <f>SUBTOTAL(9,C9:C30)</f>
        <v>216699</v>
      </c>
      <c r="D31" s="1085" t="str">
        <f>IF(ISNUMBER(C31/Datos!BI31),C31/Datos!BI31," - ")</f>
        <v xml:space="preserve"> - </v>
      </c>
      <c r="E31" s="1084">
        <f>SUBTOTAL(9,E9:E30)</f>
        <v>389496</v>
      </c>
      <c r="F31" s="1085">
        <f>IF(ISNUMBER(E31/B31),E31/B31," - ")</f>
        <v>2291.1529411764704</v>
      </c>
      <c r="G31" s="1084">
        <f>SUBTOTAL(9,G9:G30)</f>
        <v>373125</v>
      </c>
      <c r="H31" s="1085">
        <f>IF(ISNUMBER(G31/B31),G31/B31," - ")</f>
        <v>2194.8529411764707</v>
      </c>
      <c r="I31" s="1084">
        <f>SUBTOTAL(9,I9:I30)</f>
        <v>240031</v>
      </c>
      <c r="J31" s="1085">
        <f>IF(ISNUMBER(I31/B31),I31/B31," - ")</f>
        <v>1411.9470588235295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uCmGve9zqrSjpcDJBrYbQmzW58uMHkmCduJAgrw15HsWLzH4CDs/I7ktoRdU3ScMr99Us8yNofx3EOXQ/K0XFQ==" saltValue="Bbtgu0i2/k+BODqLw//P2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MADRID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91</v>
      </c>
      <c r="B9" s="745" t="s">
        <v>321</v>
      </c>
      <c r="C9" s="765" t="str">
        <f>Datos!A9</f>
        <v xml:space="preserve">Jdos. 1ª Instancia   </v>
      </c>
      <c r="D9" s="593"/>
      <c r="E9" s="904">
        <f>IF(ISNUMBER(Datos!AQ9),Datos!AQ9," - ")</f>
        <v>91</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11</v>
      </c>
      <c r="B10" s="746" t="s">
        <v>321</v>
      </c>
      <c r="C10" s="747" t="str">
        <f>Datos!A10</f>
        <v>Jdos. Violencia contra la mujer</v>
      </c>
      <c r="D10" s="601"/>
      <c r="E10" s="904">
        <f>IF(ISNUMBER(Datos!AQ10),Datos!AQ10," - ")</f>
        <v>11</v>
      </c>
      <c r="F10" s="905">
        <f>IF(ISNUMBER(Datos!L10+Datos!K10-Datos!J10),Datos!L10+Datos!K10-Datos!J10," - ")</f>
        <v>724</v>
      </c>
      <c r="G10" s="906">
        <f>IF(ISNUMBER(Datos!I10),Datos!I10," - ")</f>
        <v>708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460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1706</v>
      </c>
      <c r="AC10" s="905" t="str">
        <f>IF(ISNUMBER(IF(D_I="SI",DatosP!K18,DatosP!K18+DatosP!AE18)),IF(D_I="SI",DatosP!K18,DatosP!K18+DatosP!AE18)," - ")</f>
        <v xml:space="preserve"> - </v>
      </c>
      <c r="AD10" s="907"/>
      <c r="AE10" s="907"/>
      <c r="AF10" s="910">
        <f>IF(ISNUMBER(Datos!L10),Datos!L10,"-")</f>
        <v>794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567</v>
      </c>
      <c r="AM10" s="914">
        <f>IF(ISNUMBER(Datos!N10+DatosP!N18),Datos!N10+DatosP!N18," - ")</f>
        <v>783</v>
      </c>
      <c r="AN10" s="914">
        <f>IF(ISNUMBER(Datos!BW10+DatosP!BW18),Datos!BW10+DatosP!BW18," - ")</f>
        <v>0</v>
      </c>
      <c r="AO10" s="915">
        <f>IF(ISNUMBER(Datos!BX10+DatosP!BX18),Datos!BX10+DatosP!BX18," - ")</f>
        <v>0</v>
      </c>
      <c r="AP10" s="917">
        <f>IF(ISNUMBER(((Datos!L10/Datos!K10)*11)/factor_trimestre),((Datos!L10/Datos!K10)*11)/factor_trimestre," - ")</f>
        <v>5.1195779601406803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14</v>
      </c>
      <c r="B11" s="746" t="s">
        <v>321</v>
      </c>
      <c r="C11" s="747" t="str">
        <f>Datos!A11</f>
        <v xml:space="preserve">Jdos. Familia                                   </v>
      </c>
      <c r="D11" s="601"/>
      <c r="E11" s="904">
        <f>IF(ISNUMBER(Datos!AQ11),Datos!AQ11," - ")</f>
        <v>14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116</v>
      </c>
      <c r="F14" s="1256">
        <f t="shared" si="0"/>
        <v>724</v>
      </c>
      <c r="G14" s="1256">
        <f t="shared" si="0"/>
        <v>708</v>
      </c>
      <c r="H14" s="1256">
        <f t="shared" si="0"/>
        <v>0</v>
      </c>
      <c r="I14" s="1258">
        <f t="shared" si="0"/>
        <v>0</v>
      </c>
      <c r="J14" s="1257">
        <f t="shared" si="0"/>
        <v>0</v>
      </c>
      <c r="K14" s="1257">
        <f t="shared" si="0"/>
        <v>0</v>
      </c>
      <c r="L14" s="1259">
        <f t="shared" si="0"/>
        <v>0</v>
      </c>
      <c r="M14" s="1259">
        <f t="shared" si="0"/>
        <v>0</v>
      </c>
      <c r="N14" s="1257">
        <f t="shared" si="0"/>
        <v>460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1706</v>
      </c>
      <c r="AC14" s="1257">
        <f t="shared" si="1"/>
        <v>0</v>
      </c>
      <c r="AD14" s="1257">
        <f t="shared" si="1"/>
        <v>0</v>
      </c>
      <c r="AE14" s="1257">
        <f t="shared" si="1"/>
        <v>0</v>
      </c>
      <c r="AF14" s="1257">
        <f t="shared" si="1"/>
        <v>794</v>
      </c>
      <c r="AG14" s="1257">
        <f t="shared" si="1"/>
        <v>0</v>
      </c>
      <c r="AH14" s="1257">
        <f t="shared" si="1"/>
        <v>0</v>
      </c>
      <c r="AI14" s="1257">
        <f t="shared" si="1"/>
        <v>0</v>
      </c>
      <c r="AJ14" s="1257">
        <f t="shared" si="1"/>
        <v>0</v>
      </c>
      <c r="AK14" s="1257">
        <f t="shared" si="1"/>
        <v>0</v>
      </c>
      <c r="AL14" s="1257">
        <f t="shared" si="1"/>
        <v>567</v>
      </c>
      <c r="AM14" s="1257">
        <f t="shared" si="1"/>
        <v>783</v>
      </c>
      <c r="AN14" s="1257">
        <f t="shared" si="1"/>
        <v>0</v>
      </c>
      <c r="AO14" s="1257">
        <f t="shared" si="1"/>
        <v>0</v>
      </c>
      <c r="AP14" s="1262">
        <f>IF(ISNUMBER(((Datos!L14/Datos!K14)*11)/factor_trimestre),((Datos!L14/Datos!K14)*11)/factor_trimestre," - ")</f>
        <v>11.675043734486513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-2.3563535911602211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2.1855822199708732</v>
      </c>
      <c r="AQ23" s="1262">
        <f>IF(ISNUMBER(((Datos!M23/Datos!L23)*11)/factor_trimestre),((Datos!M23/Datos!L23)*11)/factor_trimestre," - ")</f>
        <v>7.857643647025081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-8.9611605053813756E-2</v>
      </c>
      <c r="AW23" s="1265">
        <f>IF(ISNUMBER((Datos!Q23-Datos!R23)/(Datos!S23-Datos!Q23+Datos!R23)),(Datos!Q23-Datos!R23)/(Datos!S23-Datos!Q23+Datos!R23)," - ")</f>
        <v>0.22643968717908208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116</v>
      </c>
      <c r="F31" s="1278">
        <f t="shared" si="8"/>
        <v>724</v>
      </c>
      <c r="G31" s="1278">
        <f t="shared" si="8"/>
        <v>708</v>
      </c>
      <c r="H31" s="1278">
        <f t="shared" si="8"/>
        <v>0</v>
      </c>
      <c r="I31" s="1279">
        <f t="shared" si="8"/>
        <v>0</v>
      </c>
      <c r="J31" s="1280">
        <f t="shared" si="8"/>
        <v>0</v>
      </c>
      <c r="K31" s="1280">
        <f t="shared" si="8"/>
        <v>0</v>
      </c>
      <c r="L31" s="1280">
        <f t="shared" si="8"/>
        <v>0</v>
      </c>
      <c r="M31" s="1280">
        <f t="shared" si="8"/>
        <v>0</v>
      </c>
      <c r="N31" s="1279">
        <f t="shared" si="8"/>
        <v>460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1706</v>
      </c>
      <c r="AC31" s="1284">
        <f t="shared" si="9"/>
        <v>0</v>
      </c>
      <c r="AD31" s="1284">
        <f t="shared" si="9"/>
        <v>0</v>
      </c>
      <c r="AE31" s="1284">
        <f t="shared" si="9"/>
        <v>0</v>
      </c>
      <c r="AF31" s="1285">
        <f t="shared" si="9"/>
        <v>794</v>
      </c>
      <c r="AG31" s="1285">
        <f t="shared" si="9"/>
        <v>0</v>
      </c>
      <c r="AH31" s="1285">
        <f t="shared" si="9"/>
        <v>0</v>
      </c>
      <c r="AI31" s="1285">
        <f t="shared" si="9"/>
        <v>0</v>
      </c>
      <c r="AJ31" s="1286">
        <f t="shared" si="9"/>
        <v>0</v>
      </c>
      <c r="AK31" s="1286">
        <f t="shared" si="9"/>
        <v>0</v>
      </c>
      <c r="AL31" s="1278">
        <f t="shared" si="9"/>
        <v>567</v>
      </c>
      <c r="AM31" s="1278">
        <f t="shared" si="9"/>
        <v>783</v>
      </c>
      <c r="AN31" s="1278">
        <f t="shared" si="9"/>
        <v>0</v>
      </c>
      <c r="AO31" s="1278">
        <f t="shared" si="9"/>
        <v>0</v>
      </c>
      <c r="AP31" s="1278">
        <f>IF(ISNUMBER(((Datos!L31/Datos!K31)*11)/factor_trimestre),((Datos!L31/Datos!K31)*11)/factor_trimestre," - ")</f>
        <v>7.4139824231688909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-2.3563535911602211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7.6945546776480307E-4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44.824038689574195</v>
      </c>
      <c r="F33" s="1006">
        <f>IF(ISNUMBER(STDEV(F8:F30)),STDEV(F8:F30),"-")</f>
        <v>396.55113163374023</v>
      </c>
      <c r="G33" s="1007">
        <f>IF(ISNUMBER(STDEV(G8:G30)),STDEV(G8:G30),"-")</f>
        <v>387.7875707136576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934.41468310381345</v>
      </c>
      <c r="AC33" s="1008">
        <f>IF(ISNUMBER(STDEV(AC8:AC30)),STDEV(AC8:AC30),"-")</f>
        <v>0</v>
      </c>
      <c r="AD33" s="1011"/>
      <c r="AE33" s="1011"/>
      <c r="AF33" s="1011"/>
      <c r="AG33" s="1011"/>
      <c r="AH33" s="1011"/>
      <c r="AI33" s="1011"/>
      <c r="AJ33" s="1012">
        <f>IF(ISNUMBER(STDEV(AJ8:AJ30)),STDEV(AJ8:AJ30),"-")</f>
        <v>0</v>
      </c>
      <c r="AK33" s="1014"/>
      <c r="AL33" s="1006">
        <f>IF(ISNUMBER(STDEV(AL8:AL30)),STDEV(AL8:AL30),"-")</f>
        <v>310.55869010542921</v>
      </c>
      <c r="AM33" s="1006"/>
      <c r="AN33" s="1006">
        <f>IF(ISNUMBER(STDEV(AN8:AN30)),STDEV(AN8:AN30),"-")</f>
        <v>0</v>
      </c>
      <c r="AO33" s="1012">
        <f>IF(ISNUMBER(STDEV(AO8:AO30)),STDEV(AO8:AO30),"-")</f>
        <v>0</v>
      </c>
      <c r="AP33" s="1065">
        <f>IF(ISNUMBER(STDEV(AP8:AP30)),STDEV(AP8:AP30),"-")</f>
        <v>4.8585378863300654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CCcVMXsBnpKx0kOuFLdVdBnvz0zxGwhfNPsxnbOPKTEkj53nCbkiJyga8HhRN0a0lManwPFKu2RVnIp7EfmUbg==" saltValue="130X4C+EC4LuQZ4Rttgb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MADRID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91</v>
      </c>
      <c r="D9" s="451">
        <f>Datos!BK9</f>
        <v>0</v>
      </c>
      <c r="E9" s="451">
        <f>Datos!AQ9</f>
        <v>91</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11</v>
      </c>
      <c r="D10" s="451">
        <f>Datos!BK10</f>
        <v>0</v>
      </c>
      <c r="E10" s="451">
        <f>Datos!AQ10</f>
        <v>11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14</v>
      </c>
      <c r="D11" s="451">
        <f>Datos!BK11</f>
        <v>0</v>
      </c>
      <c r="E11" s="451">
        <f>Datos!AQ11</f>
        <v>14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54</v>
      </c>
      <c r="D16" s="451">
        <f>Datos!BK16</f>
        <v>0</v>
      </c>
      <c r="E16" s="451">
        <f>Datos!AQ16</f>
        <v>54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11</v>
      </c>
      <c r="D18" s="451">
        <f>Datos!BK18</f>
        <v>0</v>
      </c>
      <c r="E18" s="451">
        <f>Datos!AQ18</f>
        <v>11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NzDMEZWCaPyqnha019PMBYdhRD50JnpbOX5HaCQQrgEjW9OGGPxx56Hua9fppN79BveZm7yYomtjQArA3NJ8xg==" saltValue="J1IIgy/Tg3YDTRRDcqJq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MADRID</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91</v>
      </c>
      <c r="C9" s="458">
        <f>Datos!AQ9</f>
        <v>91</v>
      </c>
      <c r="D9" s="451">
        <f>IF(ISNUMBER(Datos!M9),Datos!M9," - ")</f>
        <v>51754</v>
      </c>
      <c r="E9" s="452">
        <f t="shared" ref="E9:E14" si="0">IF(ISNUMBER(D9/B9),D9/B9," - ")</f>
        <v>568.72527472527474</v>
      </c>
      <c r="F9" s="451">
        <f>IF(ISNUMBER(Datos!N9),Datos!N9," - ")</f>
        <v>88763</v>
      </c>
      <c r="G9" s="452">
        <f t="shared" ref="G9:G14" si="1">IF(ISNUMBER(F9/B9),F9/B9," - ")</f>
        <v>975.41758241758237</v>
      </c>
      <c r="H9" s="451">
        <f>IF(ISNUMBER(Datos!O9),Datos!O9," - ")</f>
        <v>66748</v>
      </c>
      <c r="I9" s="452">
        <f>IF(ISNUMBER(H9/B9),H9/B9," - ")</f>
        <v>733.49450549450546</v>
      </c>
    </row>
    <row r="10" spans="1:9">
      <c r="A10" s="450" t="str">
        <f>Datos!A10</f>
        <v>Jdos. Violencia contra la mujer</v>
      </c>
      <c r="B10" s="480">
        <f>Datos!AO10</f>
        <v>11</v>
      </c>
      <c r="C10" s="458">
        <f>Datos!AQ10</f>
        <v>11</v>
      </c>
      <c r="D10" s="451">
        <f>IF(ISNUMBER(Datos!M10),Datos!M10," - ")</f>
        <v>567</v>
      </c>
      <c r="E10" s="452">
        <f>IF(ISNUMBER(D10/B10),D10/B10," - ")</f>
        <v>51.545454545454547</v>
      </c>
      <c r="F10" s="451">
        <f>IF(ISNUMBER(Datos!N10),Datos!N10," - ")</f>
        <v>783</v>
      </c>
      <c r="G10" s="452">
        <f>IF(ISNUMBER(F10/B10),F10/B10," - ")</f>
        <v>71.181818181818187</v>
      </c>
      <c r="H10" s="451">
        <f>IF(ISNUMBER(Datos!O10),Datos!O10," - ")</f>
        <v>303</v>
      </c>
      <c r="I10" s="452">
        <f t="shared" ref="I10:I13" si="2">IF(ISNUMBER(H10/B10),H10/B10," - ")</f>
        <v>27.545454545454547</v>
      </c>
    </row>
    <row r="11" spans="1:9">
      <c r="A11" s="450" t="str">
        <f>Datos!A11</f>
        <v xml:space="preserve">Jdos. Familia                                   </v>
      </c>
      <c r="B11" s="480">
        <f>Datos!AO11</f>
        <v>14</v>
      </c>
      <c r="C11" s="458">
        <f>Datos!AQ11</f>
        <v>14</v>
      </c>
      <c r="D11" s="451">
        <f>IF(ISNUMBER(Datos!M11),Datos!M11," - ")</f>
        <v>6322</v>
      </c>
      <c r="E11" s="452">
        <f t="shared" si="0"/>
        <v>451.57142857142856</v>
      </c>
      <c r="F11" s="451">
        <f>IF(ISNUMBER(Datos!N11),Datos!N11," - ")</f>
        <v>5259</v>
      </c>
      <c r="G11" s="452">
        <f t="shared" si="1"/>
        <v>375.64285714285717</v>
      </c>
      <c r="H11" s="451">
        <f>IF(ISNUMBER(Datos!O11),Datos!O11," - ")</f>
        <v>4805</v>
      </c>
      <c r="I11" s="452">
        <f t="shared" si="2"/>
        <v>343.21428571428572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116</v>
      </c>
      <c r="C14" s="1148">
        <f>Datos!AR14</f>
        <v>116</v>
      </c>
      <c r="D14" s="1146">
        <f>SUBTOTAL(9,D9:D13)</f>
        <v>58643</v>
      </c>
      <c r="E14" s="1147">
        <f t="shared" si="0"/>
        <v>505.54310344827587</v>
      </c>
      <c r="F14" s="1146">
        <f>SUBTOTAL(9,F9:F13)</f>
        <v>94805</v>
      </c>
      <c r="G14" s="1147">
        <f t="shared" si="1"/>
        <v>817.2844827586207</v>
      </c>
      <c r="H14" s="1146">
        <f>SUBTOTAL(9,H9:H13)</f>
        <v>71856</v>
      </c>
      <c r="I14" s="1147">
        <f>IF(ISNUMBER(H14/B14),H14/B14," - ")</f>
        <v>619.44827586206895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54</v>
      </c>
      <c r="C16" s="481">
        <f>Datos!AQ16</f>
        <v>54</v>
      </c>
      <c r="D16" s="451">
        <f>IF(ISNUMBER(Datos!M16),Datos!M16," - ")</f>
        <v>22072</v>
      </c>
      <c r="E16" s="452">
        <f t="shared" ref="E16:E23" si="3">IF(ISNUMBER(D16/B16),D16/B16," - ")</f>
        <v>408.74074074074076</v>
      </c>
      <c r="F16" s="451">
        <f>IF(ISNUMBER(Datos!N16),Datos!N16," - ")</f>
        <v>73938</v>
      </c>
      <c r="G16" s="452">
        <f t="shared" ref="G16:G23" si="4">IF(ISNUMBER(F16/B16),F16/B16," - ")</f>
        <v>1369.2222222222222</v>
      </c>
      <c r="H16" s="451">
        <f>IF(ISNUMBER(Datos!O16),Datos!O16," - ")</f>
        <v>6355</v>
      </c>
      <c r="I16" s="452">
        <f t="shared" ref="I16:I22" si="5">IF(ISNUMBER(H16/B16),H16/B16," - ")</f>
        <v>117.68518518518519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11</v>
      </c>
      <c r="C18" s="481">
        <f>Datos!AQ18</f>
        <v>11</v>
      </c>
      <c r="D18" s="451">
        <f>IF(ISNUMBER(Datos!M18),Datos!M18," - ")</f>
        <v>343</v>
      </c>
      <c r="E18" s="452">
        <f>IF(ISNUMBER(D18/B18),D18/B18," - ")</f>
        <v>31.181818181818183</v>
      </c>
      <c r="F18" s="451">
        <f>IF(ISNUMBER(Datos!N18),Datos!N18," - ")</f>
        <v>13011</v>
      </c>
      <c r="G18" s="452">
        <f>IF(ISNUMBER(F18/B18),F18/B18," - ")</f>
        <v>1182.8181818181818</v>
      </c>
      <c r="H18" s="451">
        <f>IF(ISNUMBER(Datos!O18),Datos!O18," - ")</f>
        <v>10</v>
      </c>
      <c r="I18" s="452">
        <f t="shared" si="5"/>
        <v>0.90909090909090906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65</v>
      </c>
      <c r="C23" s="1148">
        <f>Datos!AR23</f>
        <v>65</v>
      </c>
      <c r="D23" s="1146">
        <f>SUBTOTAL(9,D16:D22)</f>
        <v>22415</v>
      </c>
      <c r="E23" s="1147">
        <f t="shared" si="3"/>
        <v>344.84615384615387</v>
      </c>
      <c r="F23" s="1146">
        <f>SUBTOTAL(9,F16:F22)</f>
        <v>86949</v>
      </c>
      <c r="G23" s="1147">
        <f t="shared" si="4"/>
        <v>1337.676923076923</v>
      </c>
      <c r="H23" s="1146">
        <f>SUBTOTAL(9,H16:H22)</f>
        <v>6365</v>
      </c>
      <c r="I23" s="1147">
        <f>IF(ISNUMBER(H23/B23),H23/B23," - ")</f>
        <v>97.92307692307692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170</v>
      </c>
      <c r="C31" s="1084">
        <f>Datos!AR31</f>
        <v>170</v>
      </c>
      <c r="D31" s="1084">
        <f>SUBTOTAL(9,D8:D30)</f>
        <v>81058</v>
      </c>
      <c r="E31" s="1085">
        <f>IF(ISNUMBER(D31/B31),D31/B31," - ")</f>
        <v>476.81176470588235</v>
      </c>
      <c r="F31" s="1084">
        <f>SUBTOTAL(9,F8:F30)</f>
        <v>181754</v>
      </c>
      <c r="G31" s="1085">
        <f>IF(ISNUMBER(F31/B31),F31/B31," - ")</f>
        <v>1069.1411764705883</v>
      </c>
      <c r="H31" s="1084">
        <f>SUBTOTAL(9,H8:H30)</f>
        <v>78221</v>
      </c>
      <c r="I31" s="1085">
        <f>IF(ISNUMBER(H31/B31),H31/B31," - ")</f>
        <v>460.12352941176471</v>
      </c>
    </row>
    <row r="34" spans="1:1">
      <c r="A34" s="439" t="str">
        <f>Criterios!A4</f>
        <v>Fecha Informe: 15 abr. 2023</v>
      </c>
    </row>
    <row r="39" spans="1:1">
      <c r="A39" s="462"/>
    </row>
  </sheetData>
  <sheetProtection algorithmName="SHA-512" hashValue="MyzZ2F7X4LwFg1A8DR8V//Ms5FtkSJt7QXACf68MtiDSD0yOtZ/5eWXq9uWTtPkuKfRMTlbGORO1o2G4nyW6oQ==" saltValue="Leh/js4B9jSM3Z5koDWU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MADRID</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33412</v>
      </c>
      <c r="C9" s="489">
        <f>IF(ISNUMBER(Datos!Q9),Datos!Q9," - ")</f>
        <v>32406</v>
      </c>
      <c r="D9" s="456">
        <f>IF(ISNUMBER(Datos!R9),Datos!R9," - ")</f>
        <v>131044</v>
      </c>
    </row>
    <row r="10" spans="1:4">
      <c r="A10" s="450" t="str">
        <f>Datos!A10</f>
        <v>Jdos. Violencia contra la mujer</v>
      </c>
      <c r="B10" s="488">
        <f>IF(ISNUMBER(Datos!P10),Datos!P10," - ")</f>
        <v>460</v>
      </c>
      <c r="C10" s="489">
        <f>IF(ISNUMBER(Datos!Q10),Datos!Q10," - ")</f>
        <v>413</v>
      </c>
      <c r="D10" s="456">
        <f>IF(ISNUMBER(Datos!R10),Datos!R10," - ")</f>
        <v>921</v>
      </c>
    </row>
    <row r="11" spans="1:4">
      <c r="A11" s="450" t="str">
        <f>Datos!A11</f>
        <v xml:space="preserve">Jdos. Familia                                   </v>
      </c>
      <c r="B11" s="488">
        <f>IF(ISNUMBER(Datos!P11),Datos!P11," - ")</f>
        <v>2232</v>
      </c>
      <c r="C11" s="489">
        <f>IF(ISNUMBER(Datos!Q11),Datos!Q11," - ")</f>
        <v>2794</v>
      </c>
      <c r="D11" s="456">
        <f>IF(ISNUMBER(Datos!R11),Datos!R11," - ")</f>
        <v>4611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36104</v>
      </c>
      <c r="C14" s="1150">
        <f>SUBTOTAL(9,C9:C13)</f>
        <v>35613</v>
      </c>
      <c r="D14" s="1148">
        <f>SUBTOTAL(9,D9:D13)</f>
        <v>136576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9189</v>
      </c>
      <c r="C16" s="489">
        <f>IF(ISNUMBER(Datos!Q16),Datos!Q16," - ")</f>
        <v>9557</v>
      </c>
      <c r="D16" s="456">
        <f>IF(ISNUMBER(Datos!R16),Datos!R16," - ")</f>
        <v>3857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52</v>
      </c>
      <c r="C18" s="489">
        <f>IF(ISNUMBER(Datos!Q18),Datos!Q18," - ")</f>
        <v>67</v>
      </c>
      <c r="D18" s="456">
        <f>IF(ISNUMBER(Datos!R18),Datos!R18," - ")</f>
        <v>34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9241</v>
      </c>
      <c r="C23" s="1150">
        <f>SUBTOTAL(9,C16:C22)</f>
        <v>9624</v>
      </c>
      <c r="D23" s="1148">
        <f>SUBTOTAL(9,D16:D22)</f>
        <v>3891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45345</v>
      </c>
      <c r="C31" s="1089">
        <f>SUBTOTAL(9,C8:C30)</f>
        <v>45237</v>
      </c>
      <c r="D31" s="1090">
        <f>SUBTOTAL(9,D8:D30)</f>
        <v>140467</v>
      </c>
    </row>
    <row r="32" spans="1:4" ht="7.5" customHeight="1"/>
    <row r="33" spans="1:1" ht="6" customHeight="1"/>
    <row r="34" spans="1:1">
      <c r="A34" s="439" t="str">
        <f>Criterios!A4</f>
        <v>Fecha Informe: 15 abr. 2023</v>
      </c>
    </row>
    <row r="39" spans="1:1">
      <c r="A39" s="462"/>
    </row>
  </sheetData>
  <sheetProtection algorithmName="SHA-512" hashValue="S1+B+3jxcKSX12sCq5vDd4QyQZTSkNzR4vEkqDFOBTJeDrUxSzdCi6dYu7DH+KedHztkZmzYmHyuvYv+NMNVJA==" saltValue="VQ7KyT96a6ztQtt9iN9S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MADRID</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0.1802428134833203</v>
      </c>
      <c r="C9" s="515">
        <f>IF(ISNUMBER(
   IF(J_V="SI",(Datos!J9-Datos!T9)/Datos!T9,(Datos!J9+Datos!Z9-(Datos!T9+Datos!AH9))/(Datos!T9+Datos!AH9))
     ),IF(J_V="SI",(Datos!J9-Datos!T9)/Datos!T9,(Datos!J9+Datos!Z9-(Datos!T9+Datos!AH9))/(Datos!T9+Datos!AH9))," - ")</f>
        <v>3.8033912650399626E-2</v>
      </c>
      <c r="D9" s="515">
        <f>IF(ISNUMBER(
   IF(J_V="SI",(Datos!K9-Datos!U9)/Datos!U9,(Datos!K9+Datos!AA9-(Datos!U9+Datos!AI9))/(Datos!U9+Datos!AI9))
     ),IF(J_V="SI",(Datos!K9-Datos!U9)/Datos!U9,(Datos!K9+Datos!AA9-(Datos!U9+Datos!AI9))/(Datos!U9+Datos!AI9))," - ")</f>
        <v>7.5415747911756079E-2</v>
      </c>
      <c r="E9" s="515">
        <f>IF(ISNUMBER(
   IF(J_V="SI",(Datos!L9-Datos!V9)/Datos!V9,(Datos!L9+Datos!AB9-(Datos!V9+Datos!AJ9))/(Datos!V9+Datos!AJ9))
     ),IF(J_V="SI",(Datos!L9-Datos!V9)/Datos!V9,(Datos!L9+Datos!AB9-(Datos!V9+Datos!AJ9))/(Datos!V9+Datos!AJ9))," - ")</f>
        <v>0.10756849971258862</v>
      </c>
      <c r="F9" s="515">
        <f>IF(ISNUMBER((Datos!M9-Datos!W9)/Datos!W9),(Datos!M9-Datos!W9)/Datos!W9," - ")</f>
        <v>0.16626104200468722</v>
      </c>
      <c r="G9" s="516">
        <f>IF(ISNUMBER((Datos!N9-Datos!X9)/Datos!X9),(Datos!N9-Datos!X9)/Datos!X9," - ")</f>
        <v>5.5169872328285109E-2</v>
      </c>
      <c r="H9" s="514">
        <f>IF(ISNUMBER(((NºAsuntos!G9/NºAsuntos!E9)-Datos!BD9)/Datos!BD9),((NºAsuntos!G9/NºAsuntos!E9)-Datos!BD9)/Datos!BD9," - ")</f>
        <v>3.6012152209854049E-2</v>
      </c>
      <c r="I9" s="515">
        <f>IF(ISNUMBER(((NºAsuntos!I9/NºAsuntos!G9)-Datos!BE9)/Datos!BE9),((NºAsuntos!I9/NºAsuntos!G9)-Datos!BE9)/Datos!BE9," - ")</f>
        <v>2.9897973749470268E-2</v>
      </c>
      <c r="J9" s="521">
        <f>IF(ISNUMBER((('Resol  Asuntos'!D9/NºAsuntos!G9)-Datos!BF9)/Datos!BF9),(('Resol  Asuntos'!D9/NºAsuntos!G9)-Datos!BF9)/Datos!BF9," - ")</f>
        <v>-0.4279184519962333</v>
      </c>
      <c r="K9" s="522">
        <f>IF(ISNUMBER((((NºAsuntos!C9+NºAsuntos!E9)/NºAsuntos!G9)-Datos!BG9)/Datos!BG9),(((NºAsuntos!C9+NºAsuntos!E9)/NºAsuntos!G9)-Datos!BG9)/Datos!BG9," - ")</f>
        <v>2.1664289733637515E-2</v>
      </c>
    </row>
    <row r="10" spans="1:11">
      <c r="A10" s="450" t="str">
        <f>Datos!A10</f>
        <v>Jdos. Violencia contra la mujer</v>
      </c>
      <c r="B10" s="514">
        <f>IF(ISNUMBER((Datos!I10-Datos!S10)/Datos!S10),(Datos!I10-Datos!S10)/Datos!S10," - ")</f>
        <v>-0.19909502262443438</v>
      </c>
      <c r="C10" s="515">
        <f>IF(ISNUMBER((Datos!J10-Datos!T10)/Datos!T10),(Datos!J10-Datos!T10)/Datos!T10," - ")</f>
        <v>5.2132701421800945E-2</v>
      </c>
      <c r="D10" s="515">
        <f>IF(ISNUMBER((Datos!K10-Datos!U10)/Datos!U10),(Datos!K10-Datos!U10)/Datos!U10," - ")</f>
        <v>-5.432372505543237E-2</v>
      </c>
      <c r="E10" s="515">
        <f>IF(ISNUMBER((Datos!L10-Datos!V10)/Datos!V10),(Datos!L10-Datos!V10)/Datos!V10," - ")</f>
        <v>0.12146892655367232</v>
      </c>
      <c r="F10" s="515">
        <f>IF(ISNUMBER((Datos!M10-Datos!W10)/Datos!W10),(Datos!M10-Datos!W10)/Datos!W10," - ")</f>
        <v>-0.13829787234042554</v>
      </c>
      <c r="G10" s="516">
        <f>IF(ISNUMBER((Datos!N10-Datos!X10)/Datos!X10),(Datos!N10-Datos!X10)/Datos!X10," - ")</f>
        <v>5.5256064690026953E-2</v>
      </c>
      <c r="H10" s="514">
        <f>IF(ISNUMBER(((NºAsuntos!G10/NºAsuntos!E10)-Datos!BD10)/Datos!BD10),((NºAsuntos!G10/NºAsuntos!E10)-Datos!BD10)/Datos!BD10," - ")</f>
        <v>-0.10118155849863174</v>
      </c>
      <c r="I10" s="515">
        <f>IF(ISNUMBER(((NºAsuntos!I10/NºAsuntos!G10)-Datos!BE10)/Datos!BE10),((NºAsuntos!I10/NºAsuntos!G10)-Datos!BE10)/Datos!BE10," - ")</f>
        <v>0.1858909399195926</v>
      </c>
      <c r="J10" s="521">
        <f>IF(ISNUMBER((('Resol  Asuntos'!D10/NºAsuntos!G10)-Datos!BF10)/Datos!BF10),(('Resol  Asuntos'!D10/NºAsuntos!G10)-Datos!BF10)/Datos!BF10," - ")</f>
        <v>-8.8797984585069004E-2</v>
      </c>
      <c r="K10" s="522">
        <f>IF(ISNUMBER((((NºAsuntos!C10+NºAsuntos!E10)/NºAsuntos!G10)-Datos!BG10)/Datos!BG10),(((NºAsuntos!C10+NºAsuntos!E10)/NºAsuntos!G10)-Datos!BG10)/Datos!BG10," - ")</f>
        <v>2.126425988962197E-2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-0.19245397839647041</v>
      </c>
      <c r="C11" s="515">
        <f>IF(ISNUMBER(
   IF(J_V="SI",(Datos!J11-Datos!T11)/Datos!T11,(Datos!J11+Datos!Z11-(Datos!T11+Datos!AH11))/(Datos!T11+Datos!AH11))
     ),IF(J_V="SI",(Datos!J11-Datos!T11)/Datos!T11,(Datos!J11+Datos!Z11-(Datos!T11+Datos!AH11))/(Datos!T11+Datos!AH11))," - ")</f>
        <v>7.1123755334281653E-4</v>
      </c>
      <c r="D11" s="515">
        <f>IF(ISNUMBER(
   IF(J_V="SI",(Datos!K11-Datos!U11)/Datos!U11,(Datos!K11+Datos!AA11-(Datos!U11+Datos!AI11))/(Datos!U11+Datos!AI11))
     ),IF(J_V="SI",(Datos!K11-Datos!U11)/Datos!U11,(Datos!K11+Datos!AA11-(Datos!U11+Datos!AI11))/(Datos!U11+Datos!AI11))," - ")</f>
        <v>-9.5969626168224298E-2</v>
      </c>
      <c r="E11" s="515">
        <f>IF(ISNUMBER(
   IF(J_V="SI",(Datos!L11-Datos!V11)/Datos!V11,(Datos!L11+Datos!AB11-(Datos!V11+Datos!AJ11))/(Datos!V11+Datos!AJ11))
     ),IF(J_V="SI",(Datos!L11-Datos!V11)/Datos!V11,(Datos!L11+Datos!AB11-(Datos!V11+Datos!AJ11))/(Datos!V11+Datos!AJ11))," - ")</f>
        <v>4.4461190655614165E-2</v>
      </c>
      <c r="F11" s="515">
        <f>IF(ISNUMBER((Datos!M11-Datos!W11)/Datos!W11),(Datos!M11-Datos!W11)/Datos!W11," - ")</f>
        <v>-0.11032929918378835</v>
      </c>
      <c r="G11" s="516">
        <f>IF(ISNUMBER((Datos!N11-Datos!X11)/Datos!X11),(Datos!N11-Datos!X11)/Datos!X11," - ")</f>
        <v>-1.6825574873808188E-2</v>
      </c>
      <c r="H11" s="514">
        <f>IF(ISNUMBER(((NºAsuntos!G11/NºAsuntos!E11)-Datos!BD11)/Datos!BD11),((NºAsuntos!G11/NºAsuntos!E11)-Datos!BD11)/Datos!BD11," - ")</f>
        <v>-9.6612149532710356E-2</v>
      </c>
      <c r="I11" s="515">
        <f>IF(ISNUMBER(((NºAsuntos!I11/NºAsuntos!G11)-Datos!BE11)/Datos!BE11),((NºAsuntos!I11/NºAsuntos!G11)-Datos!BE11)/Datos!BE11," - ")</f>
        <v>0.15533860464069998</v>
      </c>
      <c r="J11" s="521">
        <f>IF(ISNUMBER((('Resol  Asuntos'!D11/NºAsuntos!G11)-Datos!BF11)/Datos!BF11),(('Resol  Asuntos'!D11/NºAsuntos!G11)-Datos!BF11)/Datos!BF11," - ")</f>
        <v>0.30737107256640822</v>
      </c>
      <c r="K11" s="522">
        <f>IF(ISNUMBER((((NºAsuntos!C11+NºAsuntos!E11)/NºAsuntos!G11)-Datos!BG11)/Datos!BG11),(((NºAsuntos!C11+NºAsuntos!E11)/NºAsuntos!G11)-Datos!BG11)/Datos!BG11," - ")</f>
        <v>4.3218119594935975E-2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0.16307496948701194</v>
      </c>
      <c r="C14" s="1152">
        <f>IF(ISNUMBER(
   IF(J_V="SI",(Datos!J14-Datos!T14)/Datos!T14,(Datos!J14+Datos!Z14-(Datos!T14+Datos!AH14))/(Datos!T14+Datos!AH14))
     ),IF(J_V="SI",(Datos!J14-Datos!T14)/Datos!T14,(Datos!J14+Datos!Z14-(Datos!T14+Datos!AH14))/(Datos!T14+Datos!AH14))," - ")</f>
        <v>3.5575299866725897E-2</v>
      </c>
      <c r="D14" s="1152">
        <f>IF(ISNUMBER(
   IF(J_V="SI",(Datos!K14-Datos!U14)/Datos!U14,(Datos!K14+Datos!AA14-(Datos!U14+Datos!AI14))/(Datos!U14+Datos!AI14))
     ),IF(J_V="SI",(Datos!K14-Datos!U14)/Datos!U14,(Datos!K14+Datos!AA14-(Datos!U14+Datos!AI14))/(Datos!U14+Datos!AI14))," - ")</f>
        <v>5.9812853976852993E-2</v>
      </c>
      <c r="E14" s="1152">
        <f>IF(ISNUMBER(
   IF(J_V="SI",(Datos!L14-Datos!V14)/Datos!V14,(Datos!L14+Datos!AB14-(Datos!V14+Datos!AJ14))/(Datos!V14+Datos!AJ14))
     ),IF(J_V="SI",(Datos!L14-Datos!V14)/Datos!V14,(Datos!L14+Datos!AB14-(Datos!V14+Datos!AJ14))/(Datos!V14+Datos!AJ14))," - ")</f>
        <v>0.10584531563856456</v>
      </c>
      <c r="F14" s="1153">
        <f>IF(ISNUMBER((Datos!M14-Datos!W14)/Datos!W14),(Datos!M14-Datos!W14)/Datos!W14," - ")</f>
        <v>0.12472190257000383</v>
      </c>
      <c r="G14" s="1154">
        <f>IF(ISNUMBER((Datos!N14-Datos!X14)/Datos!X14),(Datos!N14-Datos!X14)/Datos!X14," - ")</f>
        <v>5.0901754736013653E-2</v>
      </c>
      <c r="H14" s="1154">
        <f>IF(ISNUMBER(((NºAsuntos!G14/NºAsuntos!E14)-Datos!BD14)/Datos!BD14),((NºAsuntos!G14/NºAsuntos!E14)-Datos!BD14)/Datos!BD14," - ")</f>
        <v>2.3404917163673513E-2</v>
      </c>
      <c r="I14" s="1154">
        <f>IF(ISNUMBER(((NºAsuntos!I14/NºAsuntos!G14)-Datos!BE14)/Datos!BE14),((NºAsuntos!I14/NºAsuntos!G14)-Datos!BE14)/Datos!BE14," - ")</f>
        <v>4.3434519112481862E-2</v>
      </c>
      <c r="J14" s="1154">
        <f>IF(ISNUMBER((('Resol  Asuntos'!D14/NºAsuntos!G14)-Datos!BF14)/Datos!BF14),(('Resol  Asuntos'!D14/NºAsuntos!G14)-Datos!BF14)/Datos!BF14," - ")</f>
        <v>-0.38606492730252501</v>
      </c>
      <c r="K14" s="1154">
        <f>IF(ISNUMBER((((NºAsuntos!C14+NºAsuntos!E14)/NºAsuntos!G14)-Datos!BG14)/Datos!BG14),(((NºAsuntos!C14+NºAsuntos!E14)/NºAsuntos!G14)-Datos!BG14)/Datos!BG14," - ")</f>
        <v>2.7517946709342628E-2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-9.5306035097731487E-2</v>
      </c>
      <c r="C16" s="515">
        <f>IF(ISNUMBER(
   IF(D_I="SI",(Datos!J16-Datos!T16)/Datos!T16,(Datos!J16+Datos!AD16-(Datos!T16+Datos!AL16))/(Datos!T16+Datos!AL16))
     ),IF(D_I="SI",(Datos!J16-Datos!T16)/Datos!T16,(Datos!J16+Datos!AD16-(Datos!T16+Datos!AL16))/(Datos!T16+Datos!AL16))," - ")</f>
        <v>4.2757363640540995E-2</v>
      </c>
      <c r="D16" s="515">
        <f>IF(ISNUMBER(
   IF(D_I="SI",(Datos!K16-Datos!U16)/Datos!U16,(Datos!K16+Datos!AE16-(Datos!U16+Datos!AM16))/(Datos!U16+Datos!AM16))
     ),IF(D_I="SI",(Datos!K16-Datos!U16)/Datos!U16,(Datos!K16+Datos!AE16-(Datos!U16+Datos!AM16))/(Datos!U16+Datos!AM16))," - ")</f>
        <v>-6.6723892924381994E-3</v>
      </c>
      <c r="E16" s="515">
        <f>IF(ISNUMBER(
   IF(D_I="SI",(Datos!L16-Datos!V16)/Datos!V16,(Datos!L16+Datos!AF16-(Datos!V16+Datos!AN16))/(Datos!V16+Datos!AN16))
     ),IF(D_I="SI",(Datos!L16-Datos!V16)/Datos!V16,(Datos!L16+Datos!AF16-(Datos!V16+Datos!AN16))/(Datos!V16+Datos!AN16))," - ")</f>
        <v>0.12324554486674026</v>
      </c>
      <c r="F16" s="515">
        <f>IF(ISNUMBER((Datos!M16-Datos!W16)/Datos!W16),(Datos!M16-Datos!W16)/Datos!W16," - ")</f>
        <v>-3.8812167163101365E-3</v>
      </c>
      <c r="G16" s="516">
        <f>IF(ISNUMBER((Datos!N16-Datos!X16)/Datos!X16),(Datos!N16-Datos!X16)/Datos!X16," - ")</f>
        <v>-1.1510849075522399E-2</v>
      </c>
      <c r="H16" s="514">
        <f>IF(ISNUMBER(((NºAsuntos!G16/NºAsuntos!E16)-Datos!BD16)/Datos!BD16),((NºAsuntos!G16/NºAsuntos!E16)-Datos!BD16)/Datos!BD16," - ")</f>
        <v>-4.740292867403692E-2</v>
      </c>
      <c r="I16" s="515">
        <f>IF(ISNUMBER(((NºAsuntos!I16/NºAsuntos!G16)-Datos!BE16)/Datos!BE16),((NºAsuntos!I16/NºAsuntos!G16)-Datos!BE16)/Datos!BE16," - ")</f>
        <v>0.13079062009223313</v>
      </c>
      <c r="J16" s="521">
        <f>IF(ISNUMBER((('Resol  Asuntos'!D16/NºAsuntos!G16)-Datos!BF16)/Datos!BF16),(('Resol  Asuntos'!D16/NºAsuntos!G16)-Datos!BF16)/Datos!BF16," - ")</f>
        <v>2.809921466030586E-3</v>
      </c>
      <c r="K16" s="522">
        <f>IF(ISNUMBER((((NºAsuntos!C16+NºAsuntos!E16)/NºAsuntos!G16)-Datos!BG16)/Datos!BG16),(((NºAsuntos!C16+NºAsuntos!E16)/NºAsuntos!G16)-Datos!BG16)/Datos!BG16," - ")</f>
        <v>2.5193684732060597E-2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-0.11973466003316749</v>
      </c>
      <c r="C18" s="515">
        <f>IF(ISNUMBER(
   IF(D_I="SI",(Datos!J18-Datos!T18)/Datos!T18,(Datos!J18+Datos!AD18-(Datos!T18+Datos!AL18))/(Datos!T18+Datos!AL18))
     ),IF(D_I="SI",(Datos!J18-Datos!T18)/Datos!T18,(Datos!J18+Datos!AD18-(Datos!T18+Datos!AL18))/(Datos!T18+Datos!AL18))," - ")</f>
        <v>7.3832271762208065E-2</v>
      </c>
      <c r="D18" s="515">
        <f>IF(ISNUMBER(
   IF(D_I="SI",(Datos!K18-Datos!U18)/Datos!U18,(Datos!K18+Datos!AE18-(Datos!U18+Datos!AM18))/(Datos!U18+Datos!AM18))
     ),IF(D_I="SI",(Datos!K18-Datos!U18)/Datos!U18,(Datos!K18+Datos!AE18-(Datos!U18+Datos!AM18))/(Datos!U18+Datos!AM18))," - ")</f>
        <v>4.0275705982202564E-2</v>
      </c>
      <c r="E18" s="515">
        <f>IF(ISNUMBER(
   IF(D_I="SI",(Datos!L18-Datos!V18)/Datos!V18,(Datos!L18+Datos!AF18-(Datos!V18+Datos!AN18))/(Datos!V18+Datos!AN18))
     ),IF(D_I="SI",(Datos!L18-Datos!V18)/Datos!V18,(Datos!L18+Datos!AF18-(Datos!V18+Datos!AN18))/(Datos!V18+Datos!AN18))," - ")</f>
        <v>8.854559155990957E-2</v>
      </c>
      <c r="F18" s="515">
        <f>IF(ISNUMBER((Datos!M18-Datos!W18)/Datos!W18),(Datos!M18-Datos!W18)/Datos!W18," - ")</f>
        <v>0.12459016393442623</v>
      </c>
      <c r="G18" s="516">
        <f>IF(ISNUMBER((Datos!N18-Datos!X18)/Datos!X18),(Datos!N18-Datos!X18)/Datos!X18," - ")</f>
        <v>9.630940343781598E-2</v>
      </c>
      <c r="H18" s="514">
        <f>IF(ISNUMBER(((NºAsuntos!G18/NºAsuntos!E18)-Datos!BD18)/Datos!BD18),((NºAsuntos!G18/NºAsuntos!E18)-Datos!BD18)/Datos!BD18," - ")</f>
        <v>-3.1249354915491329E-2</v>
      </c>
      <c r="I18" s="515">
        <f>IF(ISNUMBER(((NºAsuntos!I18/NºAsuntos!G18)-Datos!BE18)/Datos!BE18),((NºAsuntos!I18/NºAsuntos!G18)-Datos!BE18)/Datos!BE18," - ")</f>
        <v>4.6401050510097124E-2</v>
      </c>
      <c r="J18" s="521">
        <f>IF(ISNUMBER((('Resol  Asuntos'!D18/NºAsuntos!G18)-Datos!BF18)/Datos!BF18),(('Resol  Asuntos'!D18/NºAsuntos!G18)-Datos!BF18)/Datos!BF18," - ")</f>
        <v>8.1050107646814723E-2</v>
      </c>
      <c r="K18" s="522">
        <f>IF(ISNUMBER((((NºAsuntos!C18+NºAsuntos!E18)/NºAsuntos!G18)-Datos!BG18)/Datos!BG18),(((NºAsuntos!C18+NºAsuntos!E18)/NºAsuntos!G18)-Datos!BG18)/Datos!BG18," - ")</f>
        <v>6.5877703918808313E-3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-9.7678013590544593E-2</v>
      </c>
      <c r="C23" s="1152">
        <f>IF(ISNUMBER(
   IF(Criterios!B14="SI",(Datos!J23-Datos!T23)/Datos!T23,(Datos!J23+Datos!AD23-(Datos!T23+Datos!AL23))/(Datos!T23+Datos!AL23))
     ),IF(Criterios!B14="SI",(Datos!J23-Datos!T23)/Datos!T23,(Datos!J23+Datos!AD23-(Datos!T23+Datos!AL23))/(Datos!T23+Datos!AL23))," - ")</f>
        <v>4.6675679655186264E-2</v>
      </c>
      <c r="D23" s="1152">
        <f>IF(ISNUMBER(
   IF(Criterios!B14="SI",(Datos!K23-Datos!U23)/Datos!U23,(Datos!K23+Datos!AE23-(Datos!U23+Datos!AM23))/(Datos!U23+Datos!AM23))
     ),IF(Criterios!B14="SI",(Datos!K23-Datos!U23)/Datos!U23,(Datos!K23+Datos!AE23-(Datos!U23+Datos!AM23))/(Datos!U23+Datos!AM23))," - ")</f>
        <v>-8.9832481400880615E-4</v>
      </c>
      <c r="E23" s="1152">
        <f>IF(ISNUMBER(
   IF(Criterios!B14="SI",(Datos!L23-Datos!V23)/Datos!V23,(Datos!L23+Datos!AF23-(Datos!V23+Datos!AN23))/(Datos!V23+Datos!AN23))
     ),IF(Criterios!B14="SI",(Datos!L23-Datos!V23)/Datos!V23,(Datos!L23+Datos!AF23-(Datos!V23+Datos!AN23))/(Datos!V23+Datos!AN23))," - ")</f>
        <v>0.1199585980441145</v>
      </c>
      <c r="F23" s="1153">
        <f>IF(ISNUMBER((Datos!M23-Datos!W23)/Datos!W23),(Datos!M23-Datos!W23)/Datos!W23," - ")</f>
        <v>-2.1368472599385658E-3</v>
      </c>
      <c r="G23" s="1154">
        <f>IF(ISNUMBER((Datos!N23-Datos!X23)/Datos!X23),(Datos!N23-Datos!X23)/Datos!X23," - ")</f>
        <v>3.2538336391013879E-3</v>
      </c>
      <c r="H23" s="1154">
        <f>IF(ISNUMBER(((NºAsuntos!G23/NºAsuntos!E23)-Datos!BD23)/Datos!BD23),((NºAsuntos!G23/NºAsuntos!E23)-Datos!BD23)/Datos!BD23," - ")</f>
        <v>-4.5452479114512209E-2</v>
      </c>
      <c r="I23" s="1154">
        <f>IF(ISNUMBER(((NºAsuntos!I23/NºAsuntos!G23)-Datos!BE23)/Datos!BE23),((NºAsuntos!I23/NºAsuntos!G23)-Datos!BE23)/Datos!BE23," - ")</f>
        <v>0.12096558924858651</v>
      </c>
      <c r="J23" s="1154">
        <f>IF(ISNUMBER((('Resol  Asuntos'!D23/NºAsuntos!G23)-Datos!BF23)/Datos!BF23),(('Resol  Asuntos'!D23/NºAsuntos!G23)-Datos!BF23)/Datos!BF23," - ")</f>
        <v>-1.2396360417464912E-3</v>
      </c>
      <c r="K23" s="1154">
        <f>IF(ISNUMBER((((NºAsuntos!C23+NºAsuntos!E23)/NºAsuntos!G23)-Datos!BG23)/Datos!BG23),(((NºAsuntos!C23+NºAsuntos!E23)/NºAsuntos!G23)-Datos!BG23)/Datos!BG23," - ")</f>
        <v>2.2756797344563567E-2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0.12118358625185614</v>
      </c>
      <c r="C31" s="1092">
        <f>IF(ISNUMBER(
   IF(J_V="SI",(Datos!J31-Datos!T31)/Datos!T31,(Datos!J31+Datos!Z31-(Datos!T31+Datos!AH31))/(Datos!T31+Datos!AH31))
     ),IF(J_V="SI",(Datos!J31-Datos!T31)/Datos!T31,(Datos!J31+Datos!Z31-(Datos!T31+Datos!AH31))/(Datos!T31+Datos!AH31))," - ")</f>
        <v>4.0003844983098093E-2</v>
      </c>
      <c r="D31" s="1092">
        <f>IF(ISNUMBER(
   IF(J_V="SI",(Datos!K31-Datos!U31)/Datos!U31,(Datos!K31+Datos!AA31-(Datos!U31+Datos!AI31))/(Datos!U31+Datos!AI31))
     ),IF(J_V="SI",(Datos!K31-Datos!U31)/Datos!U31,(Datos!K31+Datos!AA31-(Datos!U31+Datos!AI31))/(Datos!U31+Datos!AI31))," - ")</f>
        <v>3.3238074667286954E-2</v>
      </c>
      <c r="E31" s="1092">
        <f>IF(ISNUMBER(
   IF(J_V="SI",(Datos!L31-Datos!V31)/Datos!V31,(Datos!L31+Datos!AB31-(Datos!V31+Datos!AJ31))/(Datos!V31+Datos!AJ31))
     ),IF(J_V="SI",(Datos!L31-Datos!V31)/Datos!V31,(Datos!L31+Datos!AB31-(Datos!V31+Datos!AJ31))/(Datos!V31+Datos!AJ31))," - ")</f>
        <v>0.10767008615637359</v>
      </c>
      <c r="F31" s="1093">
        <f>IF(ISNUMBER((Datos!M31-Datos!W31)/Datos!W31),(Datos!M31-Datos!W31)/Datos!W31," - ")</f>
        <v>8.6524670589654573E-2</v>
      </c>
      <c r="G31" s="1094">
        <f>IF(ISNUMBER((Datos!N31-Datos!X31)/Datos!X31),(Datos!N31-Datos!X31)/Datos!X31," - ")</f>
        <v>2.7555404794210765E-2</v>
      </c>
      <c r="H31" s="1095">
        <f>IF(ISNUMBER((Tasas!B31-Datos!BD31)/Datos!BD31),(Tasas!B31-Datos!BD31)/Datos!BD31," - ")</f>
        <v>-6.5055243290193104E-3</v>
      </c>
      <c r="I31" s="1096">
        <f>IF(ISNUMBER((Tasas!C31-Datos!BE31)/Datos!BE31),(Tasas!C31-Datos!BE31)/Datos!BE31," - ")</f>
        <v>7.2037619706430522E-2</v>
      </c>
      <c r="J31" s="1097">
        <f>IF(ISNUMBER((Tasas!D31-Datos!BF31)/Datos!BF31),(Tasas!D31-Datos!BF31)/Datos!BF31," - ")</f>
        <v>-0.30323239817104558</v>
      </c>
      <c r="K31" s="1097">
        <f>IF(ISNUMBER((Tasas!E31-Datos!BG31)/Datos!BG31),(Tasas!E31-Datos!BG31)/Datos!BG31," - ")</f>
        <v>3.3292897346711967E-2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ywJZ1LgQ14cMg/aupgnEu6wMJrZwZYgpgm56MMR6m90eNP5N1FLYa/uU7v+hgqkpqJx+pJqwA/Ycq9+lgehjA==" saltValue="ZqSL6zr7OIO8E+WoPgv0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MADRID</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0.91733802784276486</v>
      </c>
      <c r="C9" s="498">
        <f>IF(ISNUMBER(NºAsuntos!I9/NºAsuntos!G9),NºAsuntos!I9/NºAsuntos!G9," - ")</f>
        <v>1.0217259560026666</v>
      </c>
      <c r="D9" s="499">
        <f>IF(ISNUMBER('Resol  Asuntos'!D9/NºAsuntos!G9),'Resol  Asuntos'!D9/NºAsuntos!G9," - ")</f>
        <v>0.26136799789911724</v>
      </c>
      <c r="E9" s="500">
        <f>IF(ISNUMBER((NºAsuntos!C9+NºAsuntos!E9)/NºAsuntos!G9),(NºAsuntos!C9+NºAsuntos!E9)/NºAsuntos!G9," - ")</f>
        <v>2.012605296648688</v>
      </c>
      <c r="G9" s="523"/>
    </row>
    <row r="10" spans="1:7">
      <c r="A10" s="450" t="str">
        <f>Datos!A10</f>
        <v>Jdos. Violencia contra la mujer</v>
      </c>
      <c r="B10" s="497">
        <f>IF(ISNUMBER(NºAsuntos!G10/NºAsuntos!E10),NºAsuntos!G10/NºAsuntos!E10," - ")</f>
        <v>0.9605855855855856</v>
      </c>
      <c r="C10" s="498">
        <f>IF(ISNUMBER(NºAsuntos!I10/NºAsuntos!G10),NºAsuntos!I10/NºAsuntos!G10," - ")</f>
        <v>0.46541617819460729</v>
      </c>
      <c r="D10" s="499">
        <f>IF(ISNUMBER('Resol  Asuntos'!D10/NºAsuntos!G10),'Resol  Asuntos'!D10/NºAsuntos!G10," - ")</f>
        <v>0.33235638921453692</v>
      </c>
      <c r="E10" s="500">
        <f>IF(ISNUMBER((NºAsuntos!C10+NºAsuntos!E10)/NºAsuntos!G10),(NºAsuntos!C10+NºAsuntos!E10)/NºAsuntos!G10," - ")</f>
        <v>1.4560375146541618</v>
      </c>
      <c r="G10" s="523"/>
    </row>
    <row r="11" spans="1:7">
      <c r="A11" s="450" t="str">
        <f>Datos!A11</f>
        <v xml:space="preserve">Jdos. Familia                                   </v>
      </c>
      <c r="B11" s="497">
        <f>IF(ISNUMBER(NºAsuntos!G11/NºAsuntos!E11),NºAsuntos!G11/NºAsuntos!E11," - ")</f>
        <v>1</v>
      </c>
      <c r="C11" s="498">
        <f>IF(ISNUMBER(NºAsuntos!I11/NºAsuntos!G11),NºAsuntos!I11/NºAsuntos!G11," - ")</f>
        <v>0.35820895522388058</v>
      </c>
      <c r="D11" s="499">
        <f>IF(ISNUMBER('Resol  Asuntos'!D11/NºAsuntos!G11),'Resol  Asuntos'!D11/NºAsuntos!G11," - ")</f>
        <v>0.40847709504425922</v>
      </c>
      <c r="E11" s="500">
        <f>IF(ISNUMBER((NºAsuntos!C11+NºAsuntos!E11)/NºAsuntos!G11),(NºAsuntos!C11+NºAsuntos!E11)/NºAsuntos!G11," - ")</f>
        <v>1.3429605220649996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0.92315579044906226</v>
      </c>
      <c r="C14" s="1156">
        <f>IF(ISNUMBER(NºAsuntos!I14/NºAsuntos!G14),NºAsuntos!I14/NºAsuntos!G14," - ")</f>
        <v>0.96959501847161877</v>
      </c>
      <c r="D14" s="1157">
        <f>IF(ISNUMBER('Resol  Asuntos'!D14/NºAsuntos!G14),'Resol  Asuntos'!D14/NºAsuntos!G14," - ")</f>
        <v>0.272510978414926</v>
      </c>
      <c r="E14" s="1158">
        <f>IF(ISNUMBER((NºAsuntos!C14+NºAsuntos!E14)/NºAsuntos!G14),(NºAsuntos!C14+NºAsuntos!E14)/NºAsuntos!G14," - ")</f>
        <v>1.9600315992471944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1.0113765726330632</v>
      </c>
      <c r="C16" s="498">
        <f>IF(ISNUMBER(NºAsuntos!I16/NºAsuntos!G16),NºAsuntos!I16/NºAsuntos!G16," - ")</f>
        <v>0.206890041102058</v>
      </c>
      <c r="D16" s="499">
        <f>IF(ISNUMBER('Resol  Asuntos'!D16/NºAsuntos!G16),'Resol  Asuntos'!D16/NºAsuntos!G16," - ")</f>
        <v>0.16028350253438484</v>
      </c>
      <c r="E16" s="500">
        <f>IF(ISNUMBER((NºAsuntos!C16+NºAsuntos!E16)/NºAsuntos!G16),(NºAsuntos!C16+NºAsuntos!E16)/NºAsuntos!G16," - ")</f>
        <v>1.1729409030833806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0.99965399634224705</v>
      </c>
      <c r="C18" s="498">
        <f>IF(ISNUMBER(NºAsuntos!I18/NºAsuntos!G18),NºAsuntos!I18/NºAsuntos!G18," - ")</f>
        <v>0.14285007911392406</v>
      </c>
      <c r="D18" s="499">
        <f>IF(ISNUMBER('Resol  Asuntos'!D18/NºAsuntos!G18),'Resol  Asuntos'!D18/NºAsuntos!G18," - ")</f>
        <v>1.6960047468354431E-2</v>
      </c>
      <c r="E18" s="500">
        <f>IF(ISNUMBER((NºAsuntos!C18+NºAsuntos!E18)/NºAsuntos!G18),(NºAsuntos!C18+NºAsuntos!E18)/NºAsuntos!G18," - ")</f>
        <v>1.1315763449367089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1.0098600915671279</v>
      </c>
      <c r="C23" s="1156">
        <f>IF(ISNUMBER(NºAsuntos!I23/NºAsuntos!G23),NºAsuntos!I23/NºAsuntos!G23," - ")</f>
        <v>0.19868929272462482</v>
      </c>
      <c r="D23" s="1159">
        <f>IF(ISNUMBER('Resol  Asuntos'!D23/NºAsuntos!G23),'Resol  Asuntos'!D23/NºAsuntos!G23," - ")</f>
        <v>0.14192996897359589</v>
      </c>
      <c r="E23" s="1158">
        <f>IF(ISNUMBER((NºAsuntos!C23+NºAsuntos!E23)/NºAsuntos!G23),(NºAsuntos!C23+NºAsuntos!E23)/NºAsuntos!G23," - ")</f>
        <v>1.167643892863927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0.95796875962782668</v>
      </c>
      <c r="C31" s="1099">
        <f>IF(ISNUMBER(NºAsuntos!I31/NºAsuntos!G31),NºAsuntos!I31/NºAsuntos!G31," - ")</f>
        <v>0.64329916247906194</v>
      </c>
      <c r="D31" s="1100">
        <f>IF(ISNUMBER('Resol  Asuntos'!D31/NºAsuntos!G31),'Resol  Asuntos'!D31/NºAsuntos!G31," - ")</f>
        <v>0.21724087102177556</v>
      </c>
      <c r="E31" s="1101">
        <f>IF(ISNUMBER((NºAsuntos!C31+NºAsuntos!E31)/NºAsuntos!G31),(NºAsuntos!C31+NºAsuntos!E31)/NºAsuntos!G31," - ")</f>
        <v>1.6246432160804021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Cc8fn5Ao/lhBvbgkg6Q5CyXHHUECQ4lR9RpSHTA0+s+nYzBoH8/F6wOMiQvnv0sTNuNRk6ssdYCf8UGb51umg==" saltValue="zTGv1q+ZkVEMrdoJCb2T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MADRID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91</v>
      </c>
      <c r="B9" s="190" t="s">
        <v>321</v>
      </c>
      <c r="C9" s="173" t="str">
        <f>Datos!A9</f>
        <v xml:space="preserve">Jdos. 1ª Instancia   </v>
      </c>
      <c r="D9" s="173"/>
      <c r="E9" s="1402">
        <f>IF(ISNUMBER(Datos!AQ9),Datos!AQ9," - ")</f>
        <v>91</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33412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32406</v>
      </c>
      <c r="Y9" s="374">
        <f>SUM(W9:X9)</f>
        <v>32406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131044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51754</v>
      </c>
      <c r="AJ9" s="243" t="str">
        <f>IF(ISNUMBER(Datos!BW9),Datos!BW9," - ")</f>
        <v xml:space="preserve"> - </v>
      </c>
      <c r="AK9" s="242" t="str">
        <f>IF(ISNUMBER(Datos!BX9),Datos!BX9," - ")</f>
        <v xml:space="preserve"> - </v>
      </c>
      <c r="AL9" s="266">
        <f>IF(ISNUMBER(NºAsuntos!G9/NºAsuntos!E9),NºAsuntos!G9/NºAsuntos!E9," - ")</f>
        <v>0.91733802784276486</v>
      </c>
      <c r="AM9" s="284">
        <f>IF(ISNUMBER(((NºAsuntos!I9/NºAsuntos!G9)*11)/factor_trimestre),((NºAsuntos!I9/NºAsuntos!G9)*11)/factor_trimestre," - ")</f>
        <v>11.238985516029333</v>
      </c>
      <c r="AN9" s="267">
        <f>IF(ISNUMBER('Resol  Asuntos'!D9/NºAsuntos!G9),'Resol  Asuntos'!D9/NºAsuntos!G9," - ")</f>
        <v>0.26136799789911724</v>
      </c>
      <c r="AO9" s="268">
        <f>IF(ISNUMBER((NºAsuntos!C9+NºAsuntos!E9)/NºAsuntos!G9),(NºAsuntos!C9+NºAsuntos!E9)/NºAsuntos!G9," - ")</f>
        <v>2.012605296648688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11</v>
      </c>
      <c r="B10" s="300" t="s">
        <v>321</v>
      </c>
      <c r="C10" s="7" t="str">
        <f>Datos!A10</f>
        <v>Jdos. Violencia contra la mujer</v>
      </c>
      <c r="D10" s="7"/>
      <c r="E10" s="1402">
        <f>IF(ISNUMBER(Datos!AQ10),Datos!AQ10," - ")</f>
        <v>11</v>
      </c>
      <c r="F10" s="239">
        <f>IF(ISNUMBER(Datos!L10+Datos!K10-Datos!J10-K10),Datos!L10+Datos!K10-Datos!J10-K10," - ")</f>
        <v>724</v>
      </c>
      <c r="G10" s="373">
        <f>IF(ISNUMBER(Datos!I10),Datos!I10," - ")</f>
        <v>708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460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1706</v>
      </c>
      <c r="X10" s="240">
        <f>IF(ISNUMBER(Datos!Q10),Datos!Q10," - ")</f>
        <v>413</v>
      </c>
      <c r="Y10" s="374">
        <f t="shared" ref="Y10:Y13" si="0">SUM(W10:X10)</f>
        <v>2119</v>
      </c>
      <c r="Z10" s="375" t="str">
        <f>IF(ISNUMBER(Datos!CC10),Datos!CC10," - ")</f>
        <v xml:space="preserve"> - </v>
      </c>
      <c r="AA10" s="372">
        <f>IF(ISNUMBER(Datos!L10),Datos!L10,"-")</f>
        <v>794</v>
      </c>
      <c r="AB10" s="374">
        <f>IF(ISNUMBER(Datos!R10),Datos!R10," - ")</f>
        <v>921</v>
      </c>
      <c r="AC10" s="374">
        <f t="shared" ref="AC10:AC13" si="1">IF(ISNUMBER(AA10+AB10),AA10+AB10," - ")</f>
        <v>1715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567</v>
      </c>
      <c r="AJ10" s="245" t="str">
        <f>IF(ISNUMBER(Datos!BW10),Datos!BW10," - ")</f>
        <v xml:space="preserve"> - </v>
      </c>
      <c r="AK10" s="246" t="str">
        <f>IF(ISNUMBER(Datos!BX10),Datos!BX10," - ")</f>
        <v xml:space="preserve"> - </v>
      </c>
      <c r="AL10" s="266">
        <f>IF(ISNUMBER(NºAsuntos!G10/NºAsuntos!E10),NºAsuntos!G10/NºAsuntos!E10," - ")</f>
        <v>0.9605855855855856</v>
      </c>
      <c r="AM10" s="284">
        <f>IF(ISNUMBER(((NºAsuntos!I10/NºAsuntos!G10)*11)/factor_trimestre),((NºAsuntos!I10/NºAsuntos!G10)*11)/factor_trimestre," - ")</f>
        <v>5.1195779601406803</v>
      </c>
      <c r="AN10" s="267">
        <f>IF(ISNUMBER('Resol  Asuntos'!D10/NºAsuntos!G10),'Resol  Asuntos'!D10/NºAsuntos!G10," - ")</f>
        <v>0.33235638921453692</v>
      </c>
      <c r="AO10" s="268">
        <f>IF(ISNUMBER((NºAsuntos!C10+NºAsuntos!E10)/NºAsuntos!G10),(NºAsuntos!C10+NºAsuntos!E10)/NºAsuntos!G10," - ")</f>
        <v>1.4560375146541618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14</v>
      </c>
      <c r="B11" s="300" t="s">
        <v>321</v>
      </c>
      <c r="C11" s="7" t="str">
        <f>Datos!A11</f>
        <v xml:space="preserve">Jdos. Familia                                   </v>
      </c>
      <c r="D11" s="7"/>
      <c r="E11" s="1402">
        <f>IF(ISNUMBER(Datos!AQ11),Datos!AQ11," - ")</f>
        <v>14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2232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2794</v>
      </c>
      <c r="Y11" s="374">
        <f t="shared" si="0"/>
        <v>2794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4611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6322</v>
      </c>
      <c r="AJ11" s="245" t="str">
        <f>IF(ISNUMBER(Datos!BW11),Datos!BW11," - ")</f>
        <v xml:space="preserve"> - </v>
      </c>
      <c r="AK11" s="246" t="str">
        <f>IF(ISNUMBER(Datos!BX11),Datos!BX11," - ")</f>
        <v xml:space="preserve"> - </v>
      </c>
      <c r="AL11" s="266">
        <f>IF(ISNUMBER(NºAsuntos!G11/NºAsuntos!E11),NºAsuntos!G11/NºAsuntos!E11," - ")</f>
        <v>1</v>
      </c>
      <c r="AM11" s="284">
        <f>IF(ISNUMBER(((NºAsuntos!I11/NºAsuntos!G11)*11)/factor_trimestre),((NºAsuntos!I11/NºAsuntos!G11)*11)/factor_trimestre," - ")</f>
        <v>3.9402985074626864</v>
      </c>
      <c r="AN11" s="267">
        <f>IF(ISNUMBER('Resol  Asuntos'!D11/NºAsuntos!G11),'Resol  Asuntos'!D11/NºAsuntos!G11," - ")</f>
        <v>0.40847709504425922</v>
      </c>
      <c r="AO11" s="268">
        <f>IF(ISNUMBER((NºAsuntos!C11+NºAsuntos!E11)/NºAsuntos!G11),(NºAsuntos!C11+NºAsuntos!E11)/NºAsuntos!G11," - ")</f>
        <v>1.3429605220649996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116</v>
      </c>
      <c r="F14" s="1162">
        <f t="shared" si="5"/>
        <v>724</v>
      </c>
      <c r="G14" s="1163">
        <f t="shared" si="5"/>
        <v>708</v>
      </c>
      <c r="H14" s="1162">
        <f t="shared" si="5"/>
        <v>0</v>
      </c>
      <c r="I14" s="1164">
        <f t="shared" si="5"/>
        <v>0</v>
      </c>
      <c r="J14" s="1164">
        <f t="shared" si="5"/>
        <v>0</v>
      </c>
      <c r="K14" s="1164">
        <f t="shared" si="5"/>
        <v>0</v>
      </c>
      <c r="L14" s="1164">
        <f t="shared" si="5"/>
        <v>36104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1706</v>
      </c>
      <c r="X14" s="1164">
        <f t="shared" si="6"/>
        <v>35613</v>
      </c>
      <c r="Y14" s="1165">
        <f t="shared" si="6"/>
        <v>37319</v>
      </c>
      <c r="Z14" s="1165">
        <f t="shared" si="6"/>
        <v>0</v>
      </c>
      <c r="AA14" s="1165">
        <f t="shared" si="6"/>
        <v>794</v>
      </c>
      <c r="AB14" s="1165">
        <f t="shared" si="6"/>
        <v>136576</v>
      </c>
      <c r="AC14" s="1165">
        <f t="shared" si="6"/>
        <v>1715</v>
      </c>
      <c r="AD14" s="1165">
        <f t="shared" si="6"/>
        <v>0</v>
      </c>
      <c r="AE14" s="1169">
        <f t="shared" si="6"/>
        <v>0</v>
      </c>
      <c r="AF14" s="1162">
        <f t="shared" si="6"/>
        <v>0</v>
      </c>
      <c r="AG14" s="1170">
        <f t="shared" si="6"/>
        <v>0</v>
      </c>
      <c r="AH14" s="1167">
        <f t="shared" si="6"/>
        <v>0</v>
      </c>
      <c r="AI14" s="1162">
        <f t="shared" si="6"/>
        <v>58643</v>
      </c>
      <c r="AJ14" s="1164">
        <f t="shared" si="6"/>
        <v>0</v>
      </c>
      <c r="AK14" s="1167">
        <f>SUBTOTAL(9,AK9:AK13)</f>
        <v>0</v>
      </c>
      <c r="AL14" s="1171">
        <f>IF(ISNUMBER(NºAsuntos!G14/NºAsuntos!E14),NºAsuntos!G14/NºAsuntos!E14," - ")</f>
        <v>0.92315579044906226</v>
      </c>
      <c r="AM14" s="1171">
        <f>IF(ISNUMBER(((NºAsuntos!I14/NºAsuntos!G14)*11)/factor_trimestre),((NºAsuntos!I14/NºAsuntos!G14)*11)/factor_trimestre," - ")</f>
        <v>10.665545203187806</v>
      </c>
      <c r="AN14" s="1172">
        <f>IF(ISNUMBER('Resol  Asuntos'!D14/NºAsuntos!G14),'Resol  Asuntos'!D14/NºAsuntos!G14," - ")</f>
        <v>0.272510978414926</v>
      </c>
      <c r="AO14" s="1173">
        <f>IF(ISNUMBER((NºAsuntos!C14+NºAsuntos!E14)/NºAsuntos!G14),(NºAsuntos!C14+NºAsuntos!E14)/NºAsuntos!G14," - ")</f>
        <v>1.9600315992471944</v>
      </c>
      <c r="AP14" s="1174" t="str">
        <f t="shared" si="2"/>
        <v xml:space="preserve"> - </v>
      </c>
      <c r="AQ14" s="1174">
        <f>IF(ISNUMBER((H14-W14+K14)/(F14)),(H14-W14+K14)/(F14)," - ")</f>
        <v>-2.3563535911602211</v>
      </c>
      <c r="AR14" s="1175">
        <f>IF(ISNUMBER((Datos!P14-Datos!Q14)/(Datos!R14-Datos!P14+Datos!Q14)),(Datos!P14-Datos!Q14)/(Datos!R14-Datos!P14+Datos!Q14)," - ")</f>
        <v>3.6080390932138003E-3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54</v>
      </c>
      <c r="B16" s="300" t="s">
        <v>511</v>
      </c>
      <c r="C16" s="173" t="str">
        <f>Datos!A16</f>
        <v xml:space="preserve">Jdos. Instrucción                               </v>
      </c>
      <c r="D16" s="173"/>
      <c r="E16" s="1402">
        <f>IF(ISNUMBER(Datos!AQ16),Datos!AQ16," - ")</f>
        <v>54</v>
      </c>
      <c r="F16" s="239">
        <f>IF(ISNUMBER(AA16+W16-Datos!J16-K16),AA16+W16-Datos!J16-K16," - ")</f>
        <v>30039</v>
      </c>
      <c r="G16" s="373">
        <f>IF(ISNUMBER(IF(D_I="SI",Datos!I16,Datos!I16+Datos!AC16)),IF(D_I="SI",Datos!I16,Datos!I16+Datos!AC16)," - ")</f>
        <v>25364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9189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137706</v>
      </c>
      <c r="X16" s="240">
        <f>IF(ISNUMBER(Datos!Q16),Datos!Q16," - ")</f>
        <v>9557</v>
      </c>
      <c r="Y16" s="374">
        <f>SUM(W16)</f>
        <v>137706</v>
      </c>
      <c r="Z16" s="375" t="str">
        <f>IF(ISNUMBER(Datos!CC16),Datos!CC16," - ")</f>
        <v xml:space="preserve"> - </v>
      </c>
      <c r="AA16" s="372">
        <f>IF(ISNUMBER(IF(D_I="SI",Datos!L16,Datos!L16+Datos!AF16)),IF(D_I="SI",Datos!L16,Datos!L16+Datos!AF16)," - ")</f>
        <v>28490</v>
      </c>
      <c r="AB16" s="374">
        <f>IF(ISNUMBER(Datos!R16),Datos!R16," - ")</f>
        <v>3857</v>
      </c>
      <c r="AC16" s="374">
        <f t="shared" ref="AC16:AC22" si="8">IF(ISNUMBER(AA16+AB16),AA16+AB16," - ")</f>
        <v>32347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22072</v>
      </c>
      <c r="AJ16" s="245" t="str">
        <f>IF(ISNUMBER(Datos!BW16),Datos!BW16," - ")</f>
        <v xml:space="preserve"> - </v>
      </c>
      <c r="AK16" s="246" t="str">
        <f>IF(ISNUMBER(Datos!BX16),Datos!BX16," - ")</f>
        <v xml:space="preserve"> - </v>
      </c>
      <c r="AL16" s="266">
        <f>IF(ISNUMBER(NºAsuntos!G16/NºAsuntos!E16),NºAsuntos!G16/NºAsuntos!E16," - ")</f>
        <v>1.0113765726330632</v>
      </c>
      <c r="AM16" s="284">
        <f>IF(ISNUMBER(((NºAsuntos!I16/NºAsuntos!G16)*11)/factor_trimestre),((NºAsuntos!I16/NºAsuntos!G16)*11)/factor_trimestre," - ")</f>
        <v>2.2757904521226378</v>
      </c>
      <c r="AN16" s="267">
        <f>IF(ISNUMBER('Resol  Asuntos'!D16/NºAsuntos!G16),'Resol  Asuntos'!D16/NºAsuntos!G16," - ")</f>
        <v>0.16028350253438484</v>
      </c>
      <c r="AO16" s="268">
        <f>IF(ISNUMBER((NºAsuntos!C16+NºAsuntos!E16)/NºAsuntos!G16),(NºAsuntos!C16+NºAsuntos!E16)/NºAsuntos!G16," - ")</f>
        <v>1.1729409030833806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11</v>
      </c>
      <c r="B18" s="300" t="s">
        <v>511</v>
      </c>
      <c r="C18" s="7" t="str">
        <f>Datos!A18</f>
        <v>Jdos. Violencia contra la mujer</v>
      </c>
      <c r="D18" s="7"/>
      <c r="E18" s="1402">
        <f>IF(ISNUMBER(Datos!AQ18),Datos!AQ18," - ")</f>
        <v>11</v>
      </c>
      <c r="F18" s="239" t="str">
        <f>IF(ISNUMBER(AA18+W18-H18-K18),AA18+W18-H18-K18," - ")</f>
        <v xml:space="preserve"> - </v>
      </c>
      <c r="G18" s="373">
        <f>IF(ISNUMBER(IF(D_I="SI",Datos!I18,Datos!I18+Datos!AC18)),IF(D_I="SI",Datos!I18,Datos!I18+Datos!AC18)," - ")</f>
        <v>2654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20224</v>
      </c>
      <c r="X18" s="240">
        <f>IF(ISNUMBER(Datos!Q18),Datos!Q18," - ")</f>
        <v>67</v>
      </c>
      <c r="Y18" s="374">
        <f t="shared" si="9"/>
        <v>20291</v>
      </c>
      <c r="Z18" s="375" t="str">
        <f>IF(ISNUMBER(Datos!CC18),Datos!CC18," - ")</f>
        <v xml:space="preserve"> - </v>
      </c>
      <c r="AA18" s="372">
        <f>IF(ISNUMBER(Datos!L18),Datos!L18,"-")</f>
        <v>2889</v>
      </c>
      <c r="AB18" s="374">
        <f>IF(ISNUMBER(Datos!R18),Datos!R18," - ")</f>
        <v>34</v>
      </c>
      <c r="AC18" s="374">
        <f t="shared" si="8"/>
        <v>2923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343</v>
      </c>
      <c r="AJ18" s="245" t="str">
        <f>IF(ISNUMBER(Datos!BW18),Datos!BW18," - ")</f>
        <v xml:space="preserve"> - </v>
      </c>
      <c r="AK18" s="246" t="str">
        <f>IF(ISNUMBER(Datos!BX18),Datos!BX18," - ")</f>
        <v xml:space="preserve"> - </v>
      </c>
      <c r="AL18" s="266">
        <f>IF(ISNUMBER(NºAsuntos!G18/NºAsuntos!E18),NºAsuntos!G18/NºAsuntos!E18," - ")</f>
        <v>0.99965399634224705</v>
      </c>
      <c r="AM18" s="284">
        <f>IF(ISNUMBER(((NºAsuntos!I18/NºAsuntos!G18)*11)/factor_trimestre),((NºAsuntos!I18/NºAsuntos!G18)*11)/factor_trimestre," - ")</f>
        <v>1.5713508702531647</v>
      </c>
      <c r="AN18" s="267">
        <f>IF(ISNUMBER('Resol  Asuntos'!D18/NºAsuntos!G18),'Resol  Asuntos'!D18/NºAsuntos!G18," - ")</f>
        <v>1.6960047468354431E-2</v>
      </c>
      <c r="AO18" s="268">
        <f>IF(ISNUMBER((NºAsuntos!C18+NºAsuntos!E18)/NºAsuntos!G18),(NºAsuntos!C18+NºAsuntos!E18)/NºAsuntos!G18," - ")</f>
        <v>1.1315763449367089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65</v>
      </c>
      <c r="F23" s="1162">
        <f>SUBTOTAL(9,F15:F22)</f>
        <v>30039</v>
      </c>
      <c r="G23" s="1163">
        <f>SUBTOTAL(9,G16:G22)</f>
        <v>28018</v>
      </c>
      <c r="H23" s="1162">
        <f t="shared" ref="H23:O23" si="13">SUBTOTAL(9,H15:H22)</f>
        <v>0</v>
      </c>
      <c r="I23" s="1164">
        <f t="shared" si="13"/>
        <v>0</v>
      </c>
      <c r="J23" s="1164">
        <f t="shared" si="13"/>
        <v>0</v>
      </c>
      <c r="K23" s="1164">
        <f t="shared" si="13"/>
        <v>0</v>
      </c>
      <c r="L23" s="1164">
        <f t="shared" si="13"/>
        <v>9241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157930</v>
      </c>
      <c r="X23" s="1164">
        <f t="shared" si="14"/>
        <v>9624</v>
      </c>
      <c r="Y23" s="1165">
        <f t="shared" si="14"/>
        <v>157997</v>
      </c>
      <c r="Z23" s="1165">
        <f t="shared" si="14"/>
        <v>0</v>
      </c>
      <c r="AA23" s="1165">
        <f t="shared" si="14"/>
        <v>31379</v>
      </c>
      <c r="AB23" s="1165">
        <f t="shared" si="14"/>
        <v>3891</v>
      </c>
      <c r="AC23" s="1165">
        <f t="shared" si="14"/>
        <v>35270</v>
      </c>
      <c r="AD23" s="1165">
        <f t="shared" si="14"/>
        <v>0</v>
      </c>
      <c r="AE23" s="1169">
        <f t="shared" si="14"/>
        <v>0</v>
      </c>
      <c r="AF23" s="1162">
        <f t="shared" si="14"/>
        <v>0</v>
      </c>
      <c r="AG23" s="1170">
        <f t="shared" si="14"/>
        <v>0</v>
      </c>
      <c r="AH23" s="1167">
        <f t="shared" si="14"/>
        <v>0</v>
      </c>
      <c r="AI23" s="1162">
        <f t="shared" si="14"/>
        <v>22415</v>
      </c>
      <c r="AJ23" s="1164">
        <f t="shared" si="14"/>
        <v>0</v>
      </c>
      <c r="AK23" s="1167">
        <f t="shared" si="14"/>
        <v>0</v>
      </c>
      <c r="AL23" s="1171">
        <f>IF(ISNUMBER(NºAsuntos!G23/NºAsuntos!E23),NºAsuntos!G23/NºAsuntos!E23," - ")</f>
        <v>1.0098600915671279</v>
      </c>
      <c r="AM23" s="1171">
        <f>IF(ISNUMBER(((NºAsuntos!I23/NºAsuntos!G23)*11)/factor_trimestre),((NºAsuntos!I23/NºAsuntos!G23)*11)/factor_trimestre," - ")</f>
        <v>2.1855822199708732</v>
      </c>
      <c r="AN23" s="1172">
        <f>IF(ISNUMBER('Resol  Asuntos'!D23/NºAsuntos!G23),'Resol  Asuntos'!D23/NºAsuntos!G23," - ")</f>
        <v>0.14192996897359589</v>
      </c>
      <c r="AO23" s="1173">
        <f>IF(ISNUMBER((NºAsuntos!C23+NºAsuntos!E23)/NºAsuntos!G23),(NºAsuntos!C23+NºAsuntos!E23)/NºAsuntos!G23," - ")</f>
        <v>1.167643892863927</v>
      </c>
      <c r="AP23" s="1174" t="str">
        <f t="shared" si="2"/>
        <v xml:space="preserve"> - </v>
      </c>
      <c r="AQ23" s="1174">
        <f>IF(ISNUMBER((H23-W23+K23)/(F23)),(H23-W23+K23)/(F23)," - ")</f>
        <v>-5.257498585172609</v>
      </c>
      <c r="AR23" s="1175">
        <f>IF(ISNUMBER((Datos!P23-Datos!Q23)/(Datos!R23-Datos!P23+Datos!Q23)),(Datos!P23-Datos!Q23)/(Datos!R23-Datos!P23+Datos!Q23)," - ")</f>
        <v>-8.9611605053813756E-2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181</v>
      </c>
      <c r="F31" s="1117">
        <f t="shared" si="20"/>
        <v>30763</v>
      </c>
      <c r="G31" s="1118">
        <f t="shared" si="20"/>
        <v>28726</v>
      </c>
      <c r="H31" s="1117">
        <f t="shared" si="20"/>
        <v>0</v>
      </c>
      <c r="I31" s="1119">
        <f t="shared" si="20"/>
        <v>0</v>
      </c>
      <c r="J31" s="1119">
        <f t="shared" si="20"/>
        <v>0</v>
      </c>
      <c r="K31" s="1180">
        <f t="shared" si="20"/>
        <v>0</v>
      </c>
      <c r="L31" s="1119">
        <f t="shared" si="20"/>
        <v>45345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159636</v>
      </c>
      <c r="X31" s="1118">
        <f t="shared" si="21"/>
        <v>45237</v>
      </c>
      <c r="Y31" s="1125">
        <f t="shared" si="21"/>
        <v>195316</v>
      </c>
      <c r="Z31" s="1125">
        <f t="shared" si="21"/>
        <v>0</v>
      </c>
      <c r="AA31" s="1125">
        <f t="shared" si="21"/>
        <v>32173</v>
      </c>
      <c r="AB31" s="1125">
        <f t="shared" si="21"/>
        <v>140467</v>
      </c>
      <c r="AC31" s="1125">
        <f t="shared" si="21"/>
        <v>36985</v>
      </c>
      <c r="AD31" s="1125">
        <f t="shared" si="21"/>
        <v>0</v>
      </c>
      <c r="AE31" s="1127">
        <f t="shared" si="21"/>
        <v>0</v>
      </c>
      <c r="AF31" s="1128">
        <f t="shared" si="21"/>
        <v>0</v>
      </c>
      <c r="AG31" s="1129">
        <f t="shared" si="21"/>
        <v>0</v>
      </c>
      <c r="AH31" s="1127">
        <f t="shared" si="21"/>
        <v>0</v>
      </c>
      <c r="AI31" s="1117">
        <f t="shared" si="21"/>
        <v>81058</v>
      </c>
      <c r="AJ31" s="1117">
        <f t="shared" si="21"/>
        <v>0</v>
      </c>
      <c r="AK31" s="1127">
        <f t="shared" si="21"/>
        <v>0</v>
      </c>
      <c r="AL31" s="1183">
        <f>IF(ISNUMBER(NºAsuntos!G31/NºAsuntos!E31),NºAsuntos!G31/NºAsuntos!E31," - ")</f>
        <v>0.95796875962782668</v>
      </c>
      <c r="AM31" s="1184">
        <f>IF(ISNUMBER(((NºAsuntos!I31/NºAsuntos!G31)*11)/factor_trimestre),((NºAsuntos!I31/NºAsuntos!G31)*11)/factor_trimestre," - ")</f>
        <v>7.0762907872696816</v>
      </c>
      <c r="AN31" s="1184">
        <f>IF(ISNUMBER('Resol  Asuntos'!D31/NºAsuntos!G31),'Resol  Asuntos'!D31/NºAsuntos!G31," - ")</f>
        <v>0.21724087102177556</v>
      </c>
      <c r="AO31" s="1185">
        <f>IF(ISNUMBER((NºAsuntos!C31+NºAsuntos!E31)/NºAsuntos!G31),(NºAsuntos!C31+NºAsuntos!E31)/NºAsuntos!G31," - ")</f>
        <v>1.6246432160804021</v>
      </c>
      <c r="AP31" s="1186" t="str">
        <f t="shared" si="2"/>
        <v xml:space="preserve"> - </v>
      </c>
      <c r="AQ31" s="1187">
        <f>IF(OR(ISNUMBER(FIND("01",Criterios!A8,1)),ISNUMBER(FIND("02",Criterios!A8,1)),ISNUMBER(FIND("03",Criterios!A8,1)),ISNUMBER(FIND("04",Criterios!A8,1))),(I31-W31+K31)/(F31-K31),(H31-W31+K31)/(F31-K31))</f>
        <v>-5.1892208172154861</v>
      </c>
      <c r="AR31" s="1188">
        <f>IF(ISNUMBER((Datos!P31-Datos!Q31)/(Datos!R31-Datos!P31+Datos!Q31)),(Datos!P31-Datos!Q31)/(Datos!R31-Datos!P31+Datos!Q31)," - ")</f>
        <v>7.6945546776480307E-4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8207.4285714285706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35.291600644110659</v>
      </c>
      <c r="F33" s="276">
        <f>IF(ISNUMBER(STDEV(F8:F30)),STDEV(F8:F30),"-")</f>
        <v>15328.556887935234</v>
      </c>
      <c r="G33" s="277">
        <f>IF(ISNUMBER(STDEV(G8:G30)),STDEV(G8:G30),"-")</f>
        <v>12681.048048921179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70424.393552504916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22987.259245310459</v>
      </c>
      <c r="AJ33" s="276">
        <f t="shared" si="25"/>
        <v>0</v>
      </c>
      <c r="AK33" s="278">
        <f t="shared" si="25"/>
        <v>0</v>
      </c>
      <c r="AL33" s="273">
        <f t="shared" si="25"/>
        <v>4.0805411191001194E-2</v>
      </c>
      <c r="AM33" s="274">
        <f t="shared" si="25"/>
        <v>4.0556281603970161</v>
      </c>
      <c r="AN33" s="274">
        <f t="shared" si="25"/>
        <v>0.13107738533837149</v>
      </c>
      <c r="AO33" s="275">
        <f t="shared" si="25"/>
        <v>0.37522757033138832</v>
      </c>
      <c r="AP33" s="317" t="str">
        <f t="shared" si="25"/>
        <v>-</v>
      </c>
      <c r="AQ33" s="318">
        <f t="shared" si="25"/>
        <v>2.0514192984715631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uhxl6BDvLXm4haErhdqz4csEzMASo9E69OFhQhEt8Tdmyx3YireRHqAACbL4gp0UfpPXrBZuNkaZo61A5rUL/w==" saltValue="UEB2KqZn34K0ni5q6vwI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MADRID</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0.16626104200468722</v>
      </c>
      <c r="I9" s="395">
        <f>IF(ISNUMBER((Tasas!C9-Datos!BE9)/Datos!BE9),(Tasas!C9-Datos!BE9)/Datos!BE9," - ")</f>
        <v>2.9897973749470268E-2</v>
      </c>
      <c r="J9" s="394">
        <f>IF(ISNUMBER((Tasas!D9-Datos!BF9)/Datos!BF9),(Tasas!D9-Datos!BF9)/Datos!BF9," - ")</f>
        <v>-0.4279184519962333</v>
      </c>
      <c r="K9" s="396">
        <f>IF(ISNUMBER((Tasas!E9-Datos!BG9)/Datos!BG9),(Tasas!E9-Datos!BG9)/Datos!BG9," - ")</f>
        <v>2.1664289733637515E-2</v>
      </c>
      <c r="M9" t="e">
        <f>IF(Monitorios="SI",Datos!CE9,0)</f>
        <v>#REF!</v>
      </c>
      <c r="N9" t="e">
        <f>IF(Monitorios="SI",Datos!CF9,0)</f>
        <v>#REF!</v>
      </c>
      <c r="O9" t="e">
        <f>IF(Monitorios="SI",Datos!CG9,0)</f>
        <v>#REF!</v>
      </c>
      <c r="P9" t="e">
        <f>IF(Monitorios="SI",Datos!CH9,0)</f>
        <v>#REF!</v>
      </c>
      <c r="Q9">
        <f>IF(J_V="SI",0,Datos!AG9)</f>
        <v>2438</v>
      </c>
      <c r="R9">
        <f>IF(J_V="SI",0,Datos!AH9)</f>
        <v>22932</v>
      </c>
      <c r="S9">
        <f>IF(J_V="SI",0,Datos!AI9)</f>
        <v>22716</v>
      </c>
      <c r="T9">
        <f>IF(J_V="SI",0,Datos!AJ9)</f>
        <v>2718</v>
      </c>
    </row>
    <row r="10" spans="2:20" ht="14.25">
      <c r="B10" s="300" t="s">
        <v>321</v>
      </c>
      <c r="C10" s="7" t="str">
        <f>Datos!A10</f>
        <v>Jdos. Violencia contra la mujer</v>
      </c>
      <c r="D10" s="397">
        <f>IF(ISNUMBER((Datos!I10-Datos!S10)/Datos!S10),(Datos!I10-Datos!S10)/Datos!S10," - ")</f>
        <v>-0.19909502262443438</v>
      </c>
      <c r="E10" s="393">
        <f>IF(ISNUMBER((Datos!J10-Datos!T10)/Datos!T10),(Datos!J10-Datos!T10)/Datos!T10," - ")</f>
        <v>5.2132701421800945E-2</v>
      </c>
      <c r="F10" s="393">
        <f>IF(ISNUMBER((Datos!K10-Datos!U10)/Datos!U10),(Datos!K10-Datos!U10)/Datos!U10," - ")</f>
        <v>-5.432372505543237E-2</v>
      </c>
      <c r="G10" s="394">
        <f>IF(ISNUMBER((Datos!L10-Datos!V10)/Datos!V10),(Datos!L10-Datos!V10)/Datos!V10," - ")</f>
        <v>0.12146892655367232</v>
      </c>
      <c r="H10" s="244">
        <f>IF(ISNUMBER((Datos!M10-Datos!W10)/Datos!W10),(Datos!M10-Datos!W10)/Datos!W10," - ")</f>
        <v>-0.13829787234042554</v>
      </c>
      <c r="I10" s="395">
        <f>IF(ISNUMBER((Tasas!C10-Datos!BE10)/Datos!BE10),(Tasas!C10-Datos!BE10)/Datos!BE10," - ")</f>
        <v>0.1858909399195926</v>
      </c>
      <c r="J10" s="394">
        <f>IF(ISNUMBER((Tasas!D10-Datos!BF10)/Datos!BF10),(Tasas!D10-Datos!BF10)/Datos!BF10," - ")</f>
        <v>-8.8797984585069004E-2</v>
      </c>
      <c r="K10" s="396">
        <f>IF(ISNUMBER((Tasas!E10-Datos!BG10)/Datos!BG10),(Tasas!E10-Datos!BG10)/Datos!BG10," - ")</f>
        <v>2.126425988962197E-2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-0.11032929918378835</v>
      </c>
      <c r="I11" s="395">
        <f>IF(ISNUMBER((Tasas!C11-Datos!BE11)/Datos!BE11),(Tasas!C11-Datos!BE11)/Datos!BE11," - ")</f>
        <v>0.15533860464069998</v>
      </c>
      <c r="J11" s="394">
        <f>IF(ISNUMBER((Tasas!D11-Datos!BF11)/Datos!BF11),(Tasas!D11-Datos!BF11)/Datos!BF11," - ")</f>
        <v>0.30737107256640822</v>
      </c>
      <c r="K11" s="396">
        <f>IF(ISNUMBER((Tasas!E11-Datos!BG11)/Datos!BG11),(Tasas!E11-Datos!BG11)/Datos!BG11," - ")</f>
        <v>4.3218119594935975E-2</v>
      </c>
      <c r="M11" t="e">
        <f>IF(Monitorios="SI",Datos!CE11,0)</f>
        <v>#REF!</v>
      </c>
      <c r="N11" t="e">
        <f>IF(Monitorios="SI",Datos!CF11,0)</f>
        <v>#REF!</v>
      </c>
      <c r="O11" t="e">
        <f>IF(Monitorios="SI",Datos!CG11,0)</f>
        <v>#REF!</v>
      </c>
      <c r="P11" t="e">
        <f>IF(Monitorios="SI",Datos!CH11,0)</f>
        <v>#REF!</v>
      </c>
      <c r="Q11">
        <f>IF(J_V="SI",0,Datos!AG11)</f>
        <v>258</v>
      </c>
      <c r="R11">
        <f>IF(J_V="SI",0,Datos!AH11)</f>
        <v>1291</v>
      </c>
      <c r="S11">
        <f>IF(J_V="SI",0,Datos!AI11)</f>
        <v>1337</v>
      </c>
      <c r="T11">
        <f>IF(J_V="SI",0,Datos!AJ11)</f>
        <v>207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0.12472190257000383</v>
      </c>
      <c r="I14" s="402">
        <f>IF(ISNUMBER((Tasas!C14-Datos!BE14)/Datos!BE14),(Tasas!C14-Datos!BE14)/Datos!BE14," - ")</f>
        <v>4.3434519112481862E-2</v>
      </c>
      <c r="J14" s="400">
        <f>IF(ISNUMBER((Tasas!D14-Datos!BF14)/Datos!BF14),(Tasas!D14-Datos!BF14)/Datos!BF14," - ")</f>
        <v>-0.38606492730252501</v>
      </c>
      <c r="K14" s="403">
        <f>IF(ISNUMBER((Tasas!E14-Datos!BG14)/Datos!BG14),(Tasas!E14-Datos!BG14)/Datos!BG14," - ")</f>
        <v>2.7517946709342628E-2</v>
      </c>
      <c r="M14" t="e">
        <f>IF(Monitorios="SI",Datos!CE14,0)</f>
        <v>#REF!</v>
      </c>
      <c r="N14" t="e">
        <f>IF(Monitorios="SI",Datos!CF14,0)</f>
        <v>#REF!</v>
      </c>
      <c r="O14" t="e">
        <f>IF(Monitorios="SI",Datos!CG14,0)</f>
        <v>#REF!</v>
      </c>
      <c r="P14" t="e">
        <f>IF(Monitorios="SI",Datos!CH14,0)</f>
        <v>#REF!</v>
      </c>
      <c r="Q14">
        <f>IF(J_V="SI",0,Datos!AG14)</f>
        <v>2696</v>
      </c>
      <c r="R14">
        <f>IF(J_V="SI",0,Datos!AH14)</f>
        <v>24223</v>
      </c>
      <c r="S14">
        <f>IF(J_V="SI",0,Datos!AI14)</f>
        <v>24053</v>
      </c>
      <c r="T14">
        <f>IF(J_V="SI",0,Datos!AJ14)</f>
        <v>2925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-9.5306035097731487E-2</v>
      </c>
      <c r="E16" s="393">
        <f>IF(ISNUMBER(
   IF(D_I="SI",(Datos!J16-Datos!T16)/Datos!T16,(Datos!J16+Datos!AD16-(Datos!T16+Datos!AL16))/(Datos!T16+Datos!AL16))
     ),IF(D_I="SI",(Datos!J16-Datos!T16)/Datos!T16,(Datos!J16+Datos!AD16-(Datos!T16+Datos!AL16))/(Datos!T16+Datos!AL16))," - ")</f>
        <v>4.2757363640540995E-2</v>
      </c>
      <c r="F16" s="393">
        <f>IF(ISNUMBER(
   IF(D_I="SI",(Datos!K16-Datos!U16)/Datos!U16,(Datos!K16+Datos!AE16-(Datos!U16+Datos!AM16))/(Datos!U16+Datos!AM16))
     ),IF(D_I="SI",(Datos!K16-Datos!U16)/Datos!U16,(Datos!K16+Datos!AE16-(Datos!U16+Datos!AM16))/(Datos!U16+Datos!AM16))," - ")</f>
        <v>-6.6723892924381994E-3</v>
      </c>
      <c r="G16" s="394">
        <f>IF(ISNUMBER(
   IF(D_I="SI",(Datos!L16-Datos!V16)/Datos!V16,(Datos!L16+Datos!AF16-(Datos!V16+Datos!AN16))/(Datos!V16+Datos!AN16))
     ),IF(D_I="SI",(Datos!L16-Datos!V16)/Datos!V16,(Datos!L16+Datos!AF16-(Datos!V16+Datos!AN16))/(Datos!V16+Datos!AN16))," - ")</f>
        <v>0.12324554486674026</v>
      </c>
      <c r="H16" s="244">
        <f>IF(ISNUMBER((Datos!M16-Datos!W16)/Datos!W16),(Datos!M16-Datos!W16)/Datos!W16," - ")</f>
        <v>-3.8812167163101365E-3</v>
      </c>
      <c r="I16" s="395">
        <f>IF(ISNUMBER((Tasas!C16-Datos!BE16)/Datos!BE16),(Tasas!C16-Datos!BE16)/Datos!BE16," - ")</f>
        <v>0.13079062009223313</v>
      </c>
      <c r="J16" s="394">
        <f>IF(ISNUMBER((Tasas!D16-Datos!BF16)/Datos!BF16),(Tasas!D16-Datos!BF16)/Datos!BF16," - ")</f>
        <v>2.809921466030586E-3</v>
      </c>
      <c r="K16" s="396">
        <f>IF(ISNUMBER((Tasas!E16-Datos!BG16)/Datos!BG16),(Tasas!E16-Datos!BG16)/Datos!BG16," - ")</f>
        <v>2.5193684732060597E-2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-0.11973466003316749</v>
      </c>
      <c r="E18" s="393">
        <f>IF(ISNUMBER(
   IF(D_I="SI",(Datos!J18-Datos!T18)/Datos!T18,(Datos!J18+Datos!AD18-(Datos!T18+Datos!AL18))/(Datos!T18+Datos!AL18))
     ),IF(D_I="SI",(Datos!J18-Datos!T18)/Datos!T18,(Datos!J18+Datos!AD18-(Datos!T18+Datos!AL18))/(Datos!T18+Datos!AL18))," - ")</f>
        <v>7.3832271762208065E-2</v>
      </c>
      <c r="F18" s="393">
        <f>IF(ISNUMBER(
   IF(D_I="SI",(Datos!K18-Datos!U18)/Datos!U18,(Datos!K18+Datos!AE18-(Datos!U18+Datos!AM18))/(Datos!U18+Datos!AM18))
     ),IF(D_I="SI",(Datos!K18-Datos!U18)/Datos!U18,(Datos!K18+Datos!AE18-(Datos!U18+Datos!AM18))/(Datos!U18+Datos!AM18))," - ")</f>
        <v>4.0275705982202564E-2</v>
      </c>
      <c r="G18" s="394">
        <f>IF(ISNUMBER(
   IF(D_I="SI",(Datos!L18-Datos!V18)/Datos!V18,(Datos!L18+Datos!AF18-(Datos!V18+Datos!AN18))/(Datos!V18+Datos!AN18))
     ),IF(D_I="SI",(Datos!L18-Datos!V18)/Datos!V18,(Datos!L18+Datos!AF18-(Datos!V18+Datos!AN18))/(Datos!V18+Datos!AN18))," - ")</f>
        <v>8.854559155990957E-2</v>
      </c>
      <c r="H18" s="244">
        <f>IF(ISNUMBER((Datos!M18-Datos!W18)/Datos!W18),(Datos!M18-Datos!W18)/Datos!W18," - ")</f>
        <v>0.12459016393442623</v>
      </c>
      <c r="I18" s="395">
        <f>IF(ISNUMBER((Tasas!C18-Datos!BE18)/Datos!BE18),(Tasas!C18-Datos!BE18)/Datos!BE18," - ")</f>
        <v>4.6401050510097124E-2</v>
      </c>
      <c r="J18" s="394">
        <f>IF(ISNUMBER((Tasas!D18-Datos!BF18)/Datos!BF18),(Tasas!D18-Datos!BF18)/Datos!BF18," - ")</f>
        <v>8.1050107646814723E-2</v>
      </c>
      <c r="K18" s="396">
        <f>IF(ISNUMBER((Tasas!E18-Datos!BG18)/Datos!BG18),(Tasas!E18-Datos!BG18)/Datos!BG18," - ")</f>
        <v>6.5877703918808313E-3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-9.7678013590544593E-2</v>
      </c>
      <c r="E23" s="399">
        <f>IF(ISNUMBER(
   IF(D_I="SI",(Datos!J23-Datos!T23)/Datos!T23,(Datos!J23+Datos!AD23-(Datos!T23+Datos!AL23))/(Datos!T23+Datos!AL23))
     ),IF(D_I="SI",(Datos!J23-Datos!T23)/Datos!T23,(Datos!J23+Datos!AD23-(Datos!T23+Datos!AL23))/(Datos!T23+Datos!AL23))," - ")</f>
        <v>4.6675679655186264E-2</v>
      </c>
      <c r="F23" s="399">
        <f>IF(ISNUMBER(
   IF(D_I="SI",(Datos!K23-Datos!U23)/Datos!U23,(Datos!K23+Datos!AE23-(Datos!U23+Datos!AM23))/(Datos!U23+Datos!AM23))
     ),IF(D_I="SI",(Datos!K23-Datos!U23)/Datos!U23,(Datos!K23+Datos!AE23-(Datos!U23+Datos!AM23))/(Datos!U23+Datos!AM23))," - ")</f>
        <v>-8.9832481400880615E-4</v>
      </c>
      <c r="G23" s="400">
        <f>IF(ISNUMBER(
   IF(D_I="SI",(Datos!L23-Datos!V23)/Datos!V23,(Datos!L23+Datos!AF23-(Datos!V23+Datos!AN23))/(Datos!V23+Datos!AN23))
     ),IF(D_I="SI",(Datos!L23-Datos!V23)/Datos!V23,(Datos!L23+Datos!AF23-(Datos!V23+Datos!AN23))/(Datos!V23+Datos!AN23))," - ")</f>
        <v>0.1199585980441145</v>
      </c>
      <c r="H23" s="401">
        <f>IF(ISNUMBER((Datos!M23-Datos!W23)/Datos!W23),(Datos!M23-Datos!W23)/Datos!W23," - ")</f>
        <v>-2.1368472599385658E-3</v>
      </c>
      <c r="I23" s="402">
        <f>IF(ISNUMBER((Tasas!C23-Datos!BE23)/Datos!BE23),(Tasas!C23-Datos!BE23)/Datos!BE23," - ")</f>
        <v>0.12096558924858651</v>
      </c>
      <c r="J23" s="400">
        <f>IF(ISNUMBER((Tasas!D23-Datos!BF23)/Datos!BF23),(Tasas!D23-Datos!BF23)/Datos!BF23," - ")</f>
        <v>-1.2396360417464912E-3</v>
      </c>
      <c r="K23" s="403">
        <f>IF(ISNUMBER((Tasas!E23-Datos!BG23)/Datos!BG23),(Tasas!E23-Datos!BG23)/Datos!BG23," - ")</f>
        <v>2.2756797344563567E-2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0.12118358625185614</v>
      </c>
      <c r="E31" s="409">
        <f>IF(ISNUMBER(
   IF(J_V="SI",(Datos!J31-Datos!T31)/Datos!T31,(Datos!J31+Datos!Z31-(Datos!T31+Datos!AH31))/(Datos!T31+Datos!AH31))
     ),IF(J_V="SI",(Datos!J31-Datos!T31)/Datos!T31,(Datos!J31+Datos!Z31-(Datos!T31+Datos!AH31))/(Datos!T31+Datos!AH31))," - ")</f>
        <v>4.0003844983098093E-2</v>
      </c>
      <c r="F31" s="409">
        <f>IF(ISNUMBER(
   IF(J_V="SI",(Datos!K31-Datos!U31)/Datos!U31,(Datos!K31+Datos!AA31-(Datos!U31+Datos!AI31))/(Datos!U31+Datos!AI31))
     ),IF(J_V="SI",(Datos!K31-Datos!U31)/Datos!U31,(Datos!K31+Datos!AA31-(Datos!U31+Datos!AI31))/(Datos!U31+Datos!AI31))," - ")</f>
        <v>3.3238074667286954E-2</v>
      </c>
      <c r="G31" s="410">
        <f>IF(ISNUMBER(
   IF(J_V="SI",(Datos!L31-Datos!V31)/Datos!V31,(Datos!L31+Datos!AB31-(Datos!V31+Datos!AJ31))/(Datos!V31+Datos!AJ31))
     ),IF(J_V="SI",(Datos!L31-Datos!V31)/Datos!V31,(Datos!L31+Datos!AB31-(Datos!V31+Datos!AJ31))/(Datos!V31+Datos!AJ31))," - ")</f>
        <v>0.10767008615637359</v>
      </c>
      <c r="H31" s="411">
        <f>IF(ISNUMBER((Datos!M31-Datos!W31)/Datos!W31),(Datos!M31-Datos!W31)/Datos!W31," - ")</f>
        <v>8.6524670589654573E-2</v>
      </c>
      <c r="I31" s="408">
        <f>IF(ISNUMBER((Tasas!C31-Datos!BE31)/Datos!BE31),(Tasas!C31-Datos!BE31)/Datos!BE31," - ")</f>
        <v>7.2037619706430522E-2</v>
      </c>
      <c r="J31" s="409">
        <f>IF(ISNUMBER((Tasas!D31-Datos!BF31)/Datos!BF31),(Tasas!D31-Datos!BF31)/Datos!BF31," - ")</f>
        <v>-0.30323239817104558</v>
      </c>
      <c r="K31" s="410">
        <f>IF(ISNUMBER((Tasas!E31-Datos!BG31)/Datos!BG31),(Tasas!E31-Datos!BG31)/Datos!BG31," - ")</f>
        <v>3.3292897346711967E-2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4.8686506048319839E-2</v>
      </c>
      <c r="E33" s="303">
        <f t="shared" si="1"/>
        <v>1.3865517805152876E-2</v>
      </c>
      <c r="F33" s="303">
        <f t="shared" si="1"/>
        <v>3.8737083681879614E-2</v>
      </c>
      <c r="G33" s="304">
        <f t="shared" si="1"/>
        <v>1.6560624000009534E-2</v>
      </c>
      <c r="H33" s="310">
        <f t="shared" si="1"/>
        <v>0.11995818634596157</v>
      </c>
      <c r="I33" s="302">
        <f t="shared" si="1"/>
        <v>6.1631859371647821E-2</v>
      </c>
      <c r="J33" s="303">
        <f t="shared" si="1"/>
        <v>0.25933766838306144</v>
      </c>
      <c r="K33" s="304">
        <f t="shared" si="1"/>
        <v>1.0807421700336418E-2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KqnZWqKiBfmf29gof7SIEBE4aFNGo2z7+I9eylh9IzZGeVZMwX9jjfCOsiy+RTNJDu0/Pnj6DBY9kOB6ar+Q==" saltValue="bw8yavE4RF8tHkHxoIXLf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